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CHOLDT\Downloads\"/>
    </mc:Choice>
  </mc:AlternateContent>
  <xr:revisionPtr revIDLastSave="0" documentId="8_{036FB2B8-374D-4A7E-AB95-2B3E867BE50A}" xr6:coauthVersionLast="47" xr6:coauthVersionMax="47" xr10:uidLastSave="{00000000-0000-0000-0000-000000000000}"/>
  <bookViews>
    <workbookView xWindow="-120" yWindow="-120" windowWidth="29040" windowHeight="17640" tabRatio="827" xr2:uid="{00000000-000D-0000-FFFF-FFFF00000000}"/>
  </bookViews>
  <sheets>
    <sheet name="BW2" sheetId="25" r:id="rId1"/>
    <sheet name="Brücke 1000 doppelgleisig VA" sheetId="4" state="hidden" r:id="rId2"/>
  </sheets>
  <definedNames>
    <definedName name="_xlnm.Print_Area" localSheetId="0">'BW2'!$A$1:$AO$71,'BW2'!$E$82:$AM$130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J148" i="25" l="1"/>
  <c r="AJ149" i="25"/>
  <c r="R148" i="25"/>
  <c r="AK148" i="25" s="1"/>
  <c r="R149" i="25"/>
  <c r="AK149" i="25" s="1"/>
  <c r="D152" i="25"/>
  <c r="C153" i="25"/>
  <c r="C152" i="25"/>
  <c r="I152" i="25"/>
  <c r="D151" i="25"/>
  <c r="I151" i="25"/>
  <c r="C151" i="25"/>
  <c r="J151" i="25" s="1"/>
  <c r="N151" i="25" s="1"/>
  <c r="J152" i="25" l="1"/>
  <c r="Q148" i="25" l="1"/>
  <c r="R147" i="25"/>
  <c r="AJ147" i="25"/>
  <c r="Q149" i="25" l="1"/>
  <c r="AK147" i="25"/>
  <c r="F79" i="4"/>
  <c r="E79" i="4"/>
  <c r="D79" i="4"/>
  <c r="C79" i="4"/>
  <c r="B79" i="4"/>
  <c r="G42" i="4"/>
  <c r="D42" i="4"/>
  <c r="C42" i="4"/>
  <c r="N39" i="4"/>
  <c r="N38" i="4"/>
  <c r="N37" i="4"/>
  <c r="B36" i="4"/>
  <c r="G33" i="4"/>
  <c r="D33" i="4"/>
  <c r="C33" i="4"/>
  <c r="P26" i="4"/>
  <c r="L7" i="4" s="1"/>
  <c r="O21" i="4"/>
  <c r="P21" i="4" s="1"/>
  <c r="O16" i="4"/>
  <c r="P16" i="4" s="1"/>
  <c r="B11" i="4"/>
  <c r="G6" i="4"/>
  <c r="D6" i="4"/>
  <c r="C6" i="4"/>
  <c r="H4" i="4"/>
  <c r="I4" i="4" s="1"/>
  <c r="G4" i="4"/>
  <c r="D4" i="4"/>
  <c r="C4" i="4"/>
  <c r="G3" i="4"/>
  <c r="D3" i="4"/>
  <c r="C3" i="4"/>
  <c r="B1" i="4"/>
  <c r="K2" i="4" s="1"/>
  <c r="D169" i="25"/>
  <c r="C169" i="25"/>
  <c r="B169" i="25" s="1"/>
  <c r="D168" i="25"/>
  <c r="C168" i="25"/>
  <c r="D167" i="25"/>
  <c r="C167" i="25"/>
  <c r="J167" i="25" s="1"/>
  <c r="D166" i="25"/>
  <c r="C166" i="25"/>
  <c r="J166" i="25" s="1"/>
  <c r="D165" i="25"/>
  <c r="C165" i="25"/>
  <c r="I164" i="25"/>
  <c r="D164" i="25"/>
  <c r="C164" i="25"/>
  <c r="J164" i="25" s="1"/>
  <c r="I163" i="25"/>
  <c r="D163" i="25"/>
  <c r="C163" i="25"/>
  <c r="J163" i="25" s="1"/>
  <c r="I162" i="25"/>
  <c r="D162" i="25"/>
  <c r="C162" i="25"/>
  <c r="J162" i="25" s="1"/>
  <c r="N162" i="25" s="1"/>
  <c r="I161" i="25"/>
  <c r="D161" i="25"/>
  <c r="C161" i="25"/>
  <c r="J161" i="25" s="1"/>
  <c r="N161" i="25" s="1"/>
  <c r="I160" i="25"/>
  <c r="D160" i="25"/>
  <c r="C160" i="25"/>
  <c r="J160" i="25" s="1"/>
  <c r="I159" i="25"/>
  <c r="D159" i="25"/>
  <c r="C159" i="25"/>
  <c r="J159" i="25" s="1"/>
  <c r="N159" i="25" s="1"/>
  <c r="I158" i="25"/>
  <c r="D158" i="25"/>
  <c r="C158" i="25"/>
  <c r="J158" i="25" s="1"/>
  <c r="N158" i="25" s="1"/>
  <c r="I157" i="25"/>
  <c r="D157" i="25"/>
  <c r="C157" i="25"/>
  <c r="J157" i="25" s="1"/>
  <c r="N157" i="25" s="1"/>
  <c r="I156" i="25"/>
  <c r="D156" i="25"/>
  <c r="C156" i="25"/>
  <c r="J156" i="25" s="1"/>
  <c r="I155" i="25"/>
  <c r="D155" i="25"/>
  <c r="C155" i="25"/>
  <c r="J155" i="25" s="1"/>
  <c r="N155" i="25" s="1"/>
  <c r="I154" i="25"/>
  <c r="D154" i="25"/>
  <c r="C154" i="25"/>
  <c r="I153" i="25"/>
  <c r="D153" i="25"/>
  <c r="J153" i="25"/>
  <c r="N153" i="25" s="1"/>
  <c r="I150" i="25"/>
  <c r="D150" i="25"/>
  <c r="C150" i="25"/>
  <c r="I149" i="25"/>
  <c r="D149" i="25"/>
  <c r="C149" i="25"/>
  <c r="J149" i="25" s="1"/>
  <c r="N149" i="25" s="1"/>
  <c r="I148" i="25"/>
  <c r="D148" i="25"/>
  <c r="C148" i="25"/>
  <c r="I147" i="25"/>
  <c r="D147" i="25"/>
  <c r="C147" i="25"/>
  <c r="J147" i="25" s="1"/>
  <c r="N147" i="25" s="1"/>
  <c r="AJ146" i="25"/>
  <c r="R146" i="25"/>
  <c r="AK146" i="25" s="1"/>
  <c r="I146" i="25"/>
  <c r="D146" i="25"/>
  <c r="C146" i="25"/>
  <c r="J146" i="25" s="1"/>
  <c r="AJ145" i="25"/>
  <c r="R145" i="25"/>
  <c r="AK145" i="25" s="1"/>
  <c r="I145" i="25"/>
  <c r="D145" i="25"/>
  <c r="C145" i="25"/>
  <c r="AJ144" i="25"/>
  <c r="R144" i="25"/>
  <c r="I144" i="25"/>
  <c r="D144" i="25"/>
  <c r="C144" i="25"/>
  <c r="J144" i="25" s="1"/>
  <c r="N144" i="25" s="1"/>
  <c r="AJ143" i="25"/>
  <c r="R143" i="25"/>
  <c r="AK143" i="25" s="1"/>
  <c r="I143" i="25"/>
  <c r="D143" i="25"/>
  <c r="C143" i="25"/>
  <c r="J143" i="25" s="1"/>
  <c r="N143" i="25" s="1"/>
  <c r="AL142" i="25"/>
  <c r="AL143" i="25" s="1"/>
  <c r="AL144" i="25" s="1"/>
  <c r="AL145" i="25" s="1"/>
  <c r="AL146" i="25" s="1"/>
  <c r="AL147" i="25" s="1"/>
  <c r="AL148" i="25" s="1"/>
  <c r="AL149" i="25" s="1"/>
  <c r="AJ142" i="25"/>
  <c r="R142" i="25"/>
  <c r="AK142" i="25" s="1"/>
  <c r="K142" i="25"/>
  <c r="K143" i="25" s="1"/>
  <c r="K144" i="25" s="1"/>
  <c r="K145" i="25" s="1"/>
  <c r="K146" i="25" s="1"/>
  <c r="K147" i="25" s="1"/>
  <c r="K148" i="25" s="1"/>
  <c r="K149" i="25" s="1"/>
  <c r="K150" i="25" s="1"/>
  <c r="I142" i="25"/>
  <c r="D142" i="25"/>
  <c r="C142" i="25"/>
  <c r="J142" i="25" s="1"/>
  <c r="AJ141" i="25"/>
  <c r="R141" i="25"/>
  <c r="Q141" i="25" s="1"/>
  <c r="I141" i="25"/>
  <c r="D141" i="25"/>
  <c r="C141" i="25"/>
  <c r="AL130" i="25"/>
  <c r="J121" i="25"/>
  <c r="J104" i="25"/>
  <c r="J92" i="25"/>
  <c r="J89" i="25"/>
  <c r="J118" i="25" s="1"/>
  <c r="AF75" i="25"/>
  <c r="M66" i="25"/>
  <c r="M64" i="25"/>
  <c r="M63" i="25"/>
  <c r="M62" i="25"/>
  <c r="M61" i="25"/>
  <c r="M60" i="25"/>
  <c r="M59" i="25"/>
  <c r="AN2" i="25"/>
  <c r="N146" i="25" l="1"/>
  <c r="B153" i="25"/>
  <c r="J148" i="25"/>
  <c r="N148" i="25" s="1"/>
  <c r="B148" i="25"/>
  <c r="J150" i="25"/>
  <c r="N150" i="25" s="1"/>
  <c r="B150" i="25"/>
  <c r="J154" i="25"/>
  <c r="N154" i="25" s="1"/>
  <c r="E139" i="25"/>
  <c r="E140" i="25" s="1"/>
  <c r="S83" i="25" s="1"/>
  <c r="B154" i="25"/>
  <c r="N152" i="25"/>
  <c r="B162" i="25"/>
  <c r="K151" i="25"/>
  <c r="K152" i="25" s="1"/>
  <c r="K153" i="25" s="1"/>
  <c r="K154" i="25" s="1"/>
  <c r="K155" i="25" s="1"/>
  <c r="K156" i="25" s="1"/>
  <c r="K157" i="25" s="1"/>
  <c r="K158" i="25" s="1"/>
  <c r="K159" i="25" s="1"/>
  <c r="K160" i="25" s="1"/>
  <c r="K161" i="25" s="1"/>
  <c r="K162" i="25" s="1"/>
  <c r="K163" i="25" s="1"/>
  <c r="K164" i="25" s="1"/>
  <c r="K165" i="25" s="1"/>
  <c r="K166" i="25" s="1"/>
  <c r="K167" i="25" s="1"/>
  <c r="K168" i="25" s="1"/>
  <c r="K169" i="25" s="1"/>
  <c r="Q144" i="25"/>
  <c r="B159" i="25"/>
  <c r="M68" i="25"/>
  <c r="M69" i="25" s="1"/>
  <c r="B144" i="25"/>
  <c r="J169" i="25"/>
  <c r="B143" i="25"/>
  <c r="J165" i="25"/>
  <c r="J141" i="25"/>
  <c r="B141" i="25"/>
  <c r="J168" i="25"/>
  <c r="J145" i="25"/>
  <c r="N145" i="25" s="1"/>
  <c r="B145" i="25"/>
  <c r="B142" i="25"/>
  <c r="B146" i="25"/>
  <c r="B147" i="25"/>
  <c r="J101" i="25"/>
  <c r="N40" i="4"/>
  <c r="L4" i="4" s="1"/>
  <c r="AK141" i="25"/>
  <c r="Q142" i="25" s="1"/>
  <c r="D40" i="4"/>
  <c r="E40" i="4" s="1"/>
  <c r="H39" i="4"/>
  <c r="I39" i="4" s="1"/>
  <c r="C39" i="4"/>
  <c r="G38" i="4"/>
  <c r="D32" i="4"/>
  <c r="E32" i="4" s="1"/>
  <c r="G31" i="4"/>
  <c r="D30" i="4"/>
  <c r="E30" i="4" s="1"/>
  <c r="G29" i="4"/>
  <c r="D28" i="4"/>
  <c r="E28" i="4" s="1"/>
  <c r="G27" i="4"/>
  <c r="H25" i="4"/>
  <c r="I25" i="4" s="1"/>
  <c r="C25" i="4"/>
  <c r="H23" i="4"/>
  <c r="I23" i="4" s="1"/>
  <c r="C23" i="4"/>
  <c r="H20" i="4"/>
  <c r="I20" i="4" s="1"/>
  <c r="C20" i="4"/>
  <c r="H18" i="4"/>
  <c r="I18" i="4" s="1"/>
  <c r="C18" i="4"/>
  <c r="H15" i="4"/>
  <c r="I15" i="4" s="1"/>
  <c r="C15" i="4"/>
  <c r="H41" i="4"/>
  <c r="I41" i="4" s="1"/>
  <c r="C41" i="4"/>
  <c r="G40" i="4"/>
  <c r="D38" i="4"/>
  <c r="E38" i="4" s="1"/>
  <c r="C51" i="4" s="1"/>
  <c r="G32" i="4"/>
  <c r="D31" i="4"/>
  <c r="E31" i="4" s="1"/>
  <c r="G30" i="4"/>
  <c r="D29" i="4"/>
  <c r="E29" i="4" s="1"/>
  <c r="G28" i="4"/>
  <c r="D27" i="4"/>
  <c r="E27" i="4" s="1"/>
  <c r="H26" i="4"/>
  <c r="I26" i="4" s="1"/>
  <c r="C26" i="4"/>
  <c r="H24" i="4"/>
  <c r="I24" i="4" s="1"/>
  <c r="C24" i="4"/>
  <c r="H22" i="4"/>
  <c r="I22" i="4" s="1"/>
  <c r="C22" i="4"/>
  <c r="H21" i="4"/>
  <c r="I21" i="4" s="1"/>
  <c r="C21" i="4"/>
  <c r="H19" i="4"/>
  <c r="I19" i="4" s="1"/>
  <c r="C19" i="4"/>
  <c r="H17" i="4"/>
  <c r="I17" i="4" s="1"/>
  <c r="C17" i="4"/>
  <c r="H16" i="4"/>
  <c r="I16" i="4" s="1"/>
  <c r="C16" i="4"/>
  <c r="H14" i="4"/>
  <c r="I14" i="4" s="1"/>
  <c r="C14" i="4"/>
  <c r="H5" i="4"/>
  <c r="I5" i="4" s="1"/>
  <c r="G41" i="4"/>
  <c r="D39" i="4"/>
  <c r="E39" i="4" s="1"/>
  <c r="C52" i="4" s="1"/>
  <c r="H38" i="4"/>
  <c r="I38" i="4" s="1"/>
  <c r="C38" i="4"/>
  <c r="H31" i="4"/>
  <c r="I31" i="4" s="1"/>
  <c r="C31" i="4"/>
  <c r="H29" i="4"/>
  <c r="I29" i="4" s="1"/>
  <c r="C29" i="4"/>
  <c r="H27" i="4"/>
  <c r="I27" i="4" s="1"/>
  <c r="C27" i="4"/>
  <c r="G26" i="4"/>
  <c r="D25" i="4"/>
  <c r="E25" i="4" s="1"/>
  <c r="G24" i="4"/>
  <c r="D23" i="4"/>
  <c r="E23" i="4" s="1"/>
  <c r="G22" i="4"/>
  <c r="G21" i="4"/>
  <c r="D20" i="4"/>
  <c r="E20" i="4" s="1"/>
  <c r="G19" i="4"/>
  <c r="D18" i="4"/>
  <c r="E18" i="4" s="1"/>
  <c r="H40" i="4"/>
  <c r="I40" i="4" s="1"/>
  <c r="C32" i="4"/>
  <c r="D22" i="4"/>
  <c r="E22" i="4" s="1"/>
  <c r="D21" i="4"/>
  <c r="E21" i="4" s="1"/>
  <c r="G18" i="4"/>
  <c r="D16" i="4"/>
  <c r="E16" i="4" s="1"/>
  <c r="C13" i="4"/>
  <c r="G5" i="4"/>
  <c r="C40" i="4"/>
  <c r="H28" i="4"/>
  <c r="I28" i="4" s="1"/>
  <c r="D24" i="4"/>
  <c r="E24" i="4" s="1"/>
  <c r="G20" i="4"/>
  <c r="G14" i="4"/>
  <c r="H13" i="4"/>
  <c r="I13" i="4" s="1"/>
  <c r="H30" i="4"/>
  <c r="I30" i="4" s="1"/>
  <c r="C28" i="4"/>
  <c r="D26" i="4"/>
  <c r="E26" i="4" s="1"/>
  <c r="G23" i="4"/>
  <c r="G17" i="4"/>
  <c r="G15" i="4"/>
  <c r="G13" i="4"/>
  <c r="D5" i="4"/>
  <c r="E5" i="4" s="1"/>
  <c r="D41" i="4"/>
  <c r="E41" i="4" s="1"/>
  <c r="G39" i="4"/>
  <c r="H32" i="4"/>
  <c r="I32" i="4" s="1"/>
  <c r="C30" i="4"/>
  <c r="G25" i="4"/>
  <c r="D19" i="4"/>
  <c r="E19" i="4" s="1"/>
  <c r="D17" i="4"/>
  <c r="E17" i="4" s="1"/>
  <c r="G16" i="4"/>
  <c r="D15" i="4"/>
  <c r="E15" i="4" s="1"/>
  <c r="D14" i="4"/>
  <c r="E14" i="4" s="1"/>
  <c r="D13" i="4"/>
  <c r="E13" i="4" s="1"/>
  <c r="C49" i="4" s="1"/>
  <c r="C5" i="4"/>
  <c r="H33" i="4"/>
  <c r="I33" i="4" s="1"/>
  <c r="H42" i="4"/>
  <c r="I42" i="4" s="1"/>
  <c r="H6" i="4"/>
  <c r="I6" i="4" s="1"/>
  <c r="O12" i="4"/>
  <c r="P12" i="4" s="1"/>
  <c r="AK144" i="25"/>
  <c r="AJ139" i="25"/>
  <c r="AJ97" i="25" s="1"/>
  <c r="J91" i="25" s="1"/>
  <c r="B161" i="25"/>
  <c r="B80" i="4"/>
  <c r="B81" i="4" s="1"/>
  <c r="Q145" i="25"/>
  <c r="Q146" i="25"/>
  <c r="I170" i="25"/>
  <c r="AJ86" i="25" s="1"/>
  <c r="B166" i="25"/>
  <c r="B155" i="25"/>
  <c r="B168" i="25" l="1"/>
  <c r="B151" i="25"/>
  <c r="B165" i="25"/>
  <c r="B149" i="25"/>
  <c r="N141" i="25"/>
  <c r="B152" i="25"/>
  <c r="B160" i="25"/>
  <c r="B164" i="25"/>
  <c r="B157" i="25"/>
  <c r="N160" i="25"/>
  <c r="S77" i="25"/>
  <c r="Q143" i="25"/>
  <c r="Q98" i="25" s="1"/>
  <c r="Q147" i="25"/>
  <c r="Q106" i="25" s="1"/>
  <c r="J120" i="25"/>
  <c r="J103" i="25"/>
  <c r="B158" i="25"/>
  <c r="N164" i="25"/>
  <c r="N163" i="25"/>
  <c r="G49" i="4"/>
  <c r="E49" i="4"/>
  <c r="C50" i="4"/>
  <c r="I43" i="4"/>
  <c r="E52" i="4"/>
  <c r="G52" i="4"/>
  <c r="G51" i="4"/>
  <c r="E51" i="4"/>
  <c r="I34" i="4"/>
  <c r="C53" i="4"/>
  <c r="B156" i="25"/>
  <c r="B163" i="25"/>
  <c r="B167" i="25"/>
  <c r="E90" i="25"/>
  <c r="E102" i="25"/>
  <c r="E119" i="25"/>
  <c r="J119" i="25"/>
  <c r="S75" i="25"/>
  <c r="J90" i="25"/>
  <c r="J94" i="25" s="1"/>
  <c r="J95" i="25" s="1"/>
  <c r="J102" i="25"/>
  <c r="Q101" i="25" l="1"/>
  <c r="AJ99" i="25"/>
  <c r="Q99" i="25"/>
  <c r="AJ102" i="25"/>
  <c r="AJ98" i="25"/>
  <c r="AJ101" i="25"/>
  <c r="AJ100" i="25"/>
  <c r="Q100" i="25"/>
  <c r="AJ105" i="25"/>
  <c r="Q102" i="25"/>
  <c r="Q104" i="25"/>
  <c r="Q105" i="25"/>
  <c r="J124" i="25"/>
  <c r="J126" i="25" s="1"/>
  <c r="Q103" i="25"/>
  <c r="AJ106" i="25"/>
  <c r="AJ103" i="25"/>
  <c r="AJ104" i="25"/>
  <c r="J107" i="25"/>
  <c r="J108" i="25" s="1"/>
  <c r="J110" i="25" s="1"/>
  <c r="J111" i="25" s="1"/>
  <c r="R87" i="25"/>
  <c r="AJ87" i="25"/>
  <c r="Q87" i="25"/>
  <c r="Q95" i="25"/>
  <c r="AJ93" i="25"/>
  <c r="R90" i="25"/>
  <c r="AJ88" i="25"/>
  <c r="R93" i="25"/>
  <c r="AJ91" i="25"/>
  <c r="Q88" i="25"/>
  <c r="N156" i="25"/>
  <c r="G53" i="4"/>
  <c r="E53" i="4"/>
  <c r="E50" i="4"/>
  <c r="G50" i="4"/>
  <c r="Q91" i="25"/>
  <c r="AJ95" i="25"/>
  <c r="R88" i="25"/>
  <c r="Q89" i="25"/>
  <c r="Q90" i="25"/>
  <c r="H3" i="4"/>
  <c r="I3" i="4" s="1"/>
  <c r="I7" i="4" s="1"/>
  <c r="L3" i="4" s="1"/>
  <c r="L5" i="4" s="1"/>
  <c r="L8" i="4" s="1"/>
  <c r="Q93" i="25"/>
  <c r="Q92" i="25"/>
  <c r="R94" i="25"/>
  <c r="AJ96" i="25"/>
  <c r="AJ94" i="25"/>
  <c r="Q96" i="25"/>
  <c r="R95" i="25"/>
  <c r="R91" i="25"/>
  <c r="R89" i="25"/>
  <c r="Q94" i="25"/>
  <c r="R96" i="25"/>
  <c r="AJ92" i="25"/>
  <c r="AG68" i="25"/>
  <c r="Z68" i="25" s="1"/>
  <c r="AJ90" i="25"/>
  <c r="R92" i="25"/>
  <c r="AJ89" i="25"/>
  <c r="J96" i="25"/>
  <c r="J112" i="25" l="1"/>
  <c r="J128" i="25"/>
  <c r="J130" i="25" s="1"/>
  <c r="N142" i="25"/>
  <c r="N170" i="25" s="1"/>
  <c r="T75" i="25" s="1"/>
  <c r="J129" i="25" l="1"/>
</calcChain>
</file>

<file path=xl/sharedStrings.xml><?xml version="1.0" encoding="utf-8"?>
<sst xmlns="http://schemas.openxmlformats.org/spreadsheetml/2006/main" count="338" uniqueCount="240">
  <si>
    <t>ANZAHL</t>
  </si>
  <si>
    <t>Kosten Einzelstück</t>
  </si>
  <si>
    <t>1</t>
  </si>
  <si>
    <t>2</t>
  </si>
  <si>
    <t>3</t>
  </si>
  <si>
    <t>4</t>
  </si>
  <si>
    <t>5</t>
  </si>
  <si>
    <t>6</t>
  </si>
  <si>
    <t>7</t>
  </si>
  <si>
    <t>Benennung</t>
  </si>
  <si>
    <t>STOCK NUMBER</t>
  </si>
  <si>
    <t>Einzellänge in mm</t>
  </si>
  <si>
    <t>Nummer</t>
  </si>
  <si>
    <t>85</t>
  </si>
  <si>
    <t>Anzahl</t>
  </si>
  <si>
    <t>Summe</t>
  </si>
  <si>
    <t>Einzelpreis *  Anzahl</t>
  </si>
  <si>
    <t>Zusammenbau</t>
  </si>
  <si>
    <t>Lakieren</t>
  </si>
  <si>
    <t>Halbzeug sägen + bohren</t>
  </si>
  <si>
    <t>Stundenlohn</t>
  </si>
  <si>
    <t>Dauer in h</t>
  </si>
  <si>
    <t>Arbeitsgang</t>
  </si>
  <si>
    <t>Preis pro Grundlänge</t>
  </si>
  <si>
    <t>Preis Materialkosten</t>
  </si>
  <si>
    <t>Preis Arbeitskosten</t>
  </si>
  <si>
    <t>Zwischensumme</t>
  </si>
  <si>
    <t>min. Verkaufspreis</t>
  </si>
  <si>
    <t>Kalkulation</t>
  </si>
  <si>
    <t>Zusatzoptionen</t>
  </si>
  <si>
    <t>Beleuchtung</t>
  </si>
  <si>
    <t>gewählte Optionssumme</t>
  </si>
  <si>
    <t>auswählen</t>
  </si>
  <si>
    <t>Summe Optionen</t>
  </si>
  <si>
    <t xml:space="preserve">Geländer </t>
  </si>
  <si>
    <t>Niete</t>
  </si>
  <si>
    <t>Kabelkanal</t>
  </si>
  <si>
    <t>Kabel</t>
  </si>
  <si>
    <t>Profil</t>
  </si>
  <si>
    <t>incl.</t>
  </si>
  <si>
    <t>Winkel 10x10x1</t>
  </si>
  <si>
    <t>Winkel 15x15x1,5</t>
  </si>
  <si>
    <t>Gewinnspanne</t>
  </si>
  <si>
    <t>Preisstaffelung Rohteile Nord Ebay</t>
  </si>
  <si>
    <t>Gesamtlängen pro Position für 1 Brücke</t>
  </si>
  <si>
    <t>Gesamtlängen pro Position für 10 Brücken</t>
  </si>
  <si>
    <t>Gesamtlängen pro Position für 5 Brücken</t>
  </si>
  <si>
    <t>U-Profil 15x15x1,5</t>
  </si>
  <si>
    <t>200-300</t>
  </si>
  <si>
    <t>350-500</t>
  </si>
  <si>
    <t>550-600</t>
  </si>
  <si>
    <t>650-700</t>
  </si>
  <si>
    <t>750-800</t>
  </si>
  <si>
    <t>850-900</t>
  </si>
  <si>
    <t>950-1000</t>
  </si>
  <si>
    <t>1050-1200</t>
  </si>
  <si>
    <t>1250-1300</t>
  </si>
  <si>
    <t>1350-1450</t>
  </si>
  <si>
    <t>ab 4 Stück</t>
  </si>
  <si>
    <t>U-Profil 10x10x1,5</t>
  </si>
  <si>
    <t>10x10x1,5</t>
  </si>
  <si>
    <t>Profilart</t>
  </si>
  <si>
    <t>20x20x1,5</t>
  </si>
  <si>
    <t xml:space="preserve">15x15x1,5 </t>
  </si>
  <si>
    <t>Gesamtlänge</t>
  </si>
  <si>
    <t>U-Profil</t>
  </si>
  <si>
    <t>Abmessungen</t>
  </si>
  <si>
    <t>Winkel</t>
  </si>
  <si>
    <t>10x10x1</t>
  </si>
  <si>
    <t>U-Profil 20x20x1,5</t>
  </si>
  <si>
    <t>Hornbach</t>
  </si>
  <si>
    <t>2000 eloxiert</t>
  </si>
  <si>
    <t>pro Stück</t>
  </si>
  <si>
    <t>Gesamtkosten für 5 Brücken</t>
  </si>
  <si>
    <t>Gesamtkosten für 5 Brücken Profile</t>
  </si>
  <si>
    <t>Gesamtkosten für 1 Brücke Profile</t>
  </si>
  <si>
    <t>Farbe</t>
  </si>
  <si>
    <t>2 Spraydosen</t>
  </si>
  <si>
    <t>30</t>
  </si>
  <si>
    <t>Einkauf</t>
  </si>
  <si>
    <t>NR</t>
  </si>
  <si>
    <t>Hilfsdatei</t>
  </si>
  <si>
    <t>Farbe: gelb</t>
  </si>
  <si>
    <t>o.Nr.</t>
  </si>
  <si>
    <t>Farbe: rot</t>
  </si>
  <si>
    <t>Lichtpaket Analog</t>
  </si>
  <si>
    <t>Lichtpaket Digital</t>
  </si>
  <si>
    <t>S1</t>
  </si>
  <si>
    <t>Bürste - Strom von Schiene</t>
  </si>
  <si>
    <t xml:space="preserve">Nachteil: </t>
  </si>
  <si>
    <t xml:space="preserve"> - im Stillstand dreht sich keine Bürste</t>
  </si>
  <si>
    <t xml:space="preserve"> - die Drehzahl der Bürste ist abhängig </t>
  </si>
  <si>
    <t xml:space="preserve">    von der Fahrgeschwindigkeit</t>
  </si>
  <si>
    <t xml:space="preserve">Optionen </t>
  </si>
  <si>
    <t>S2</t>
  </si>
  <si>
    <t>G</t>
  </si>
  <si>
    <t>Bürstenwagen BW2</t>
  </si>
  <si>
    <t>D</t>
  </si>
  <si>
    <t>BW2</t>
  </si>
  <si>
    <t>Generierung Code</t>
  </si>
  <si>
    <t>Optionen</t>
  </si>
  <si>
    <t>ANALOG fahren</t>
  </si>
  <si>
    <t>K1</t>
  </si>
  <si>
    <t>Kondensator I (für Lok)</t>
  </si>
  <si>
    <t>BW2-XX-1-D-K1-4-G-S2</t>
  </si>
  <si>
    <t>XX</t>
  </si>
  <si>
    <t xml:space="preserve"> mit Potentiometer (Drehschalter)</t>
  </si>
  <si>
    <t xml:space="preserve"> (Urzustand)</t>
  </si>
  <si>
    <t xml:space="preserve"> mit zusätzlichem Decoder II (weitere Adresse) </t>
  </si>
  <si>
    <t>Zeile</t>
  </si>
  <si>
    <t xml:space="preserve">Bestellbeispiel </t>
  </si>
  <si>
    <t>Bürste manuell mit Potentiometer</t>
  </si>
  <si>
    <t>DIGITAL fahren mit Decoder I (incl. Umbau)</t>
  </si>
  <si>
    <t>Modellnummer (wird beim Bau vergeben)</t>
  </si>
  <si>
    <t>Bürstenwagen (2te Generation)</t>
  </si>
  <si>
    <t>FAVORIT</t>
  </si>
  <si>
    <t>(Standard)</t>
  </si>
  <si>
    <t>Farbe: Blau</t>
  </si>
  <si>
    <t>Farbe orange</t>
  </si>
  <si>
    <t>or-</t>
  </si>
  <si>
    <t>ge-</t>
  </si>
  <si>
    <t>gr-</t>
  </si>
  <si>
    <t xml:space="preserve"> und Potentiometer </t>
  </si>
  <si>
    <t>Farbe: grün</t>
  </si>
  <si>
    <t>Ihr gewählter Bürstenwagen BW2, besitzt folgende Konfiguration:</t>
  </si>
  <si>
    <t>(Bezahlung per PAYPAL)</t>
  </si>
  <si>
    <t>Summe gewählter Zusatzoptionen:</t>
  </si>
  <si>
    <t>ro-</t>
  </si>
  <si>
    <t xml:space="preserve">   </t>
  </si>
  <si>
    <t>Farben für das Gehäuse</t>
  </si>
  <si>
    <t>(Bezahlung per Überweisung</t>
  </si>
  <si>
    <t>(ohne Akku, dieser muss extra erworben werden)</t>
  </si>
  <si>
    <t>Bürste manuell steuern</t>
  </si>
  <si>
    <t>OPTIONEN</t>
  </si>
  <si>
    <r>
      <t>S1</t>
    </r>
    <r>
      <rPr>
        <b/>
        <sz val="14"/>
        <color theme="2" tint="-9.9978637043366805E-2"/>
        <rFont val="Calibri"/>
        <family val="2"/>
        <scheme val="minor"/>
      </rPr>
      <t>-</t>
    </r>
  </si>
  <si>
    <r>
      <t>R1</t>
    </r>
    <r>
      <rPr>
        <b/>
        <sz val="14"/>
        <color theme="2" tint="-9.9978637043366805E-2"/>
        <rFont val="Calibri"/>
        <family val="2"/>
        <scheme val="minor"/>
      </rPr>
      <t>-</t>
    </r>
  </si>
  <si>
    <r>
      <t>R2</t>
    </r>
    <r>
      <rPr>
        <b/>
        <sz val="14"/>
        <color theme="2" tint="-9.9978637043366805E-2"/>
        <rFont val="Calibri"/>
        <family val="2"/>
        <scheme val="minor"/>
      </rPr>
      <t>-</t>
    </r>
  </si>
  <si>
    <r>
      <t>K1</t>
    </r>
    <r>
      <rPr>
        <b/>
        <sz val="14"/>
        <color theme="2" tint="-9.9978637043366805E-2"/>
        <rFont val="Calibri"/>
        <family val="2"/>
        <scheme val="minor"/>
      </rPr>
      <t>-</t>
    </r>
  </si>
  <si>
    <r>
      <t>K2</t>
    </r>
    <r>
      <rPr>
        <b/>
        <sz val="14"/>
        <color theme="2" tint="-9.9978637043366805E-2"/>
        <rFont val="Calibri"/>
        <family val="2"/>
        <scheme val="minor"/>
      </rPr>
      <t>-</t>
    </r>
  </si>
  <si>
    <r>
      <t>S2</t>
    </r>
    <r>
      <rPr>
        <b/>
        <sz val="14"/>
        <color theme="2" tint="-9.9978637043366805E-2"/>
        <rFont val="Calibri"/>
        <family val="2"/>
        <scheme val="minor"/>
      </rPr>
      <t>-</t>
    </r>
  </si>
  <si>
    <r>
      <t>bl</t>
    </r>
    <r>
      <rPr>
        <sz val="14"/>
        <color rgb="FF00B0F0"/>
        <rFont val="Calibri"/>
        <family val="2"/>
        <scheme val="minor"/>
      </rPr>
      <t>-</t>
    </r>
  </si>
  <si>
    <r>
      <t>AL</t>
    </r>
    <r>
      <rPr>
        <b/>
        <sz val="15"/>
        <color theme="3" tint="0.59999389629810485"/>
        <rFont val="Calibri"/>
        <family val="2"/>
        <scheme val="minor"/>
      </rPr>
      <t>-</t>
    </r>
  </si>
  <si>
    <r>
      <t>G</t>
    </r>
    <r>
      <rPr>
        <b/>
        <sz val="15"/>
        <color theme="3" tint="0.59999389629810485"/>
        <rFont val="Calibri"/>
        <family val="2"/>
        <scheme val="minor"/>
      </rPr>
      <t>-</t>
    </r>
  </si>
  <si>
    <r>
      <t>3</t>
    </r>
    <r>
      <rPr>
        <b/>
        <sz val="15"/>
        <color theme="3" tint="0.59999389629810485"/>
        <rFont val="Calibri"/>
        <family val="2"/>
        <scheme val="minor"/>
      </rPr>
      <t>-</t>
    </r>
  </si>
  <si>
    <r>
      <t>D</t>
    </r>
    <r>
      <rPr>
        <b/>
        <sz val="15"/>
        <color theme="3" tint="0.59999389629810485"/>
        <rFont val="Calibri"/>
        <family val="2"/>
        <scheme val="minor"/>
      </rPr>
      <t>-</t>
    </r>
  </si>
  <si>
    <r>
      <t>1</t>
    </r>
    <r>
      <rPr>
        <b/>
        <sz val="15"/>
        <color theme="3" tint="0.59999389629810485"/>
        <rFont val="Calibri"/>
        <family val="2"/>
        <scheme val="minor"/>
      </rPr>
      <t>-</t>
    </r>
  </si>
  <si>
    <r>
      <t>2</t>
    </r>
    <r>
      <rPr>
        <b/>
        <sz val="15"/>
        <color theme="3" tint="0.59999389629810485"/>
        <rFont val="Calibri"/>
        <family val="2"/>
        <scheme val="minor"/>
      </rPr>
      <t>-</t>
    </r>
  </si>
  <si>
    <r>
      <t>A</t>
    </r>
    <r>
      <rPr>
        <b/>
        <sz val="15"/>
        <color theme="3" tint="0.59999389629810485"/>
        <rFont val="Calibri"/>
        <family val="2"/>
        <scheme val="minor"/>
      </rPr>
      <t>-</t>
    </r>
  </si>
  <si>
    <t>Stand:</t>
  </si>
  <si>
    <t>Getriebeeinheit mit Schleifkontakten</t>
  </si>
  <si>
    <t xml:space="preserve"> mit Vollräder + Kupplung</t>
  </si>
  <si>
    <t>Ersatzteil oder Zubehör</t>
  </si>
  <si>
    <t>Zubehör</t>
  </si>
  <si>
    <t>Summe gewählter Teile:</t>
  </si>
  <si>
    <t>Zubehör- und Ersatzteile</t>
  </si>
  <si>
    <t>Zubehör- und Ersatzteile:</t>
  </si>
  <si>
    <r>
      <t xml:space="preserve">oder Paypal </t>
    </r>
    <r>
      <rPr>
        <b/>
        <sz val="16"/>
        <color theme="1"/>
        <rFont val="DIN Pro"/>
      </rPr>
      <t>an Freund senden</t>
    </r>
    <r>
      <rPr>
        <sz val="16"/>
        <color theme="1"/>
        <rFont val="DIN Pro"/>
      </rPr>
      <t>)</t>
    </r>
  </si>
  <si>
    <t xml:space="preserve"> + Bestellung außerhalb von Ebay + Bezahlung per Überweisung (IBAN)</t>
  </si>
  <si>
    <r>
      <t xml:space="preserve">Kondensator II </t>
    </r>
    <r>
      <rPr>
        <i/>
        <sz val="14"/>
        <color theme="1"/>
        <rFont val="Calibri"/>
        <family val="2"/>
        <scheme val="minor"/>
      </rPr>
      <t>(für Bürste) Pufferspeicher 2min</t>
    </r>
  </si>
  <si>
    <r>
      <t xml:space="preserve">Kondensator I </t>
    </r>
    <r>
      <rPr>
        <i/>
        <sz val="14"/>
        <color theme="1"/>
        <rFont val="Calibri"/>
        <family val="2"/>
        <scheme val="minor"/>
      </rPr>
      <t>(für Lok) Pufferspeicher 3min</t>
    </r>
  </si>
  <si>
    <t>Antrieb der Bürste - Digital</t>
  </si>
  <si>
    <t>Angebot 1</t>
  </si>
  <si>
    <t>Angebot 2</t>
  </si>
  <si>
    <t>Angebot 3</t>
  </si>
  <si>
    <t>zusätzlich zum Verkaufspreis:</t>
  </si>
  <si>
    <t>(Verkauf innerhalb EBAY)</t>
  </si>
  <si>
    <t xml:space="preserve"> mit Schleifkontakten + Kupplung (Neuware)</t>
  </si>
  <si>
    <t>Preis (NETTO) gilt für alle orange markierten Felder (x) aus dem Preisdiagramm</t>
  </si>
  <si>
    <t>Vorteil:     einzeln regulierbar zwischen Fahrmotor und Bürste</t>
  </si>
  <si>
    <t>Nachteil:  permanter Wechsel zwischen den Adressen notwendig</t>
  </si>
  <si>
    <t>Verkauf</t>
  </si>
  <si>
    <t>Die Bürste wird über den Strom der Schiene angetrieben</t>
  </si>
  <si>
    <t>Die Bürste wird über den Strom des Akku's angetrieben</t>
  </si>
  <si>
    <t xml:space="preserve"> mit Akku und Ladegerät + Akkuadapter</t>
  </si>
  <si>
    <r>
      <t xml:space="preserve">2) Paypal MwSt </t>
    </r>
    <r>
      <rPr>
        <i/>
        <sz val="16"/>
        <color theme="1"/>
        <rFont val="DIN Pro"/>
      </rPr>
      <t>(19% von Punkt 1.)</t>
    </r>
  </si>
  <si>
    <r>
      <t xml:space="preserve">1) Ebay Gebühr </t>
    </r>
    <r>
      <rPr>
        <i/>
        <sz val="16"/>
        <color theme="1"/>
        <rFont val="DIN Pro"/>
      </rPr>
      <t>(11% + 0,35€)</t>
    </r>
  </si>
  <si>
    <t>2) Ebay Einstellgebühr</t>
  </si>
  <si>
    <r>
      <t xml:space="preserve">3) Ebay MwSt </t>
    </r>
    <r>
      <rPr>
        <i/>
        <sz val="16"/>
        <color theme="1"/>
        <rFont val="DIN Pro"/>
      </rPr>
      <t>(19% von Pkt. 2.+ 3.)</t>
    </r>
  </si>
  <si>
    <t>15014  Ersatz-Bürste für BW2</t>
  </si>
  <si>
    <t>enthaltene MwSt (19%)</t>
  </si>
  <si>
    <t>Summe (Brutto)</t>
  </si>
  <si>
    <t>Nettobetrag</t>
  </si>
  <si>
    <t>Verpackung &amp; Versand (inkl. MwSt)</t>
  </si>
  <si>
    <t xml:space="preserve">Ausstattung / Preisbildung </t>
  </si>
  <si>
    <r>
      <t>LGB-Getriebeeinheit</t>
    </r>
    <r>
      <rPr>
        <sz val="15"/>
        <color theme="1"/>
        <rFont val="Calibri"/>
        <family val="2"/>
        <scheme val="minor"/>
      </rPr>
      <t xml:space="preserve"> (Zug, BW2 ist selbstfahrend)</t>
    </r>
  </si>
  <si>
    <r>
      <t xml:space="preserve">Fahrgestell </t>
    </r>
    <r>
      <rPr>
        <sz val="15"/>
        <color theme="1"/>
        <rFont val="Calibri"/>
        <family val="2"/>
        <scheme val="minor"/>
      </rPr>
      <t>(Wagen, der BW2 wird geschoben von einer Lok)</t>
    </r>
  </si>
  <si>
    <t>Alle Preise sind inklusive gesetzlicher Mehrwertsteuer von 19%</t>
  </si>
  <si>
    <t>Mat.Nr.</t>
  </si>
  <si>
    <r>
      <t>1) Paypal Gebühr</t>
    </r>
    <r>
      <rPr>
        <i/>
        <sz val="16"/>
        <color theme="1"/>
        <rFont val="DIN Pro"/>
      </rPr>
      <t xml:space="preserve"> (2,99% + 0,39€)</t>
    </r>
  </si>
  <si>
    <r>
      <t>R3</t>
    </r>
    <r>
      <rPr>
        <b/>
        <sz val="14"/>
        <color theme="2" tint="-9.9978637043366805E-2"/>
        <rFont val="Calibri"/>
        <family val="2"/>
        <scheme val="minor"/>
      </rPr>
      <t>-</t>
    </r>
  </si>
  <si>
    <r>
      <t>AL</t>
    </r>
    <r>
      <rPr>
        <b/>
        <sz val="14"/>
        <color theme="2" tint="-9.9978637043366805E-2"/>
        <rFont val="Calibri"/>
        <family val="2"/>
        <scheme val="minor"/>
      </rPr>
      <t>-</t>
    </r>
  </si>
  <si>
    <t>Akku 2,5 Ah / 18 V + Ladegerät + Akkuadapter</t>
  </si>
  <si>
    <t>Einkaufskosten</t>
  </si>
  <si>
    <t>15022  Ersatz-Akku</t>
  </si>
  <si>
    <t>15024  Ersatz-Ladegerät</t>
  </si>
  <si>
    <t>14034  Funksender mit Fernbedienung</t>
  </si>
  <si>
    <t xml:space="preserve"> mit Gleichrichter (kein Akku Notwendig)</t>
  </si>
  <si>
    <t>(Art.Nr. 15220)</t>
  </si>
  <si>
    <r>
      <t>Definition Lichtpakete</t>
    </r>
    <r>
      <rPr>
        <sz val="20"/>
        <color theme="1"/>
        <rFont val="Calibri"/>
        <family val="2"/>
        <scheme val="minor"/>
      </rPr>
      <t xml:space="preserve"> (wahlweise zusätzlich wählbar)</t>
    </r>
  </si>
  <si>
    <t>Zusatzbeleuchtung auf dem Dach*</t>
  </si>
  <si>
    <t>ANALOG</t>
  </si>
  <si>
    <t>DIGITAL</t>
  </si>
  <si>
    <t>Lichtpaket</t>
  </si>
  <si>
    <t xml:space="preserve">Führerstand mit Scheiben, einem Lokführer, detailierte Führerstandskonsole, </t>
  </si>
  <si>
    <t>Rücklichter, zwei Front-Scheinwerfer, Innenraumbeleuchtung,</t>
  </si>
  <si>
    <t>ein seitlicher Kippschalter um das Lichtpaket EIN und AUS zu schalten</t>
  </si>
  <si>
    <t xml:space="preserve">*Analog (durch Kippschalter) oder Digital per Decoder </t>
  </si>
  <si>
    <r>
      <rPr>
        <sz val="13"/>
        <color theme="0" tint="-0.14999847407452621"/>
        <rFont val="Calibri"/>
        <family val="2"/>
        <scheme val="minor"/>
      </rPr>
      <t>*</t>
    </r>
    <r>
      <rPr>
        <sz val="13"/>
        <rFont val="Calibri"/>
        <family val="2"/>
        <scheme val="minor"/>
      </rPr>
      <t xml:space="preserve">zuschaltbar, </t>
    </r>
    <r>
      <rPr>
        <sz val="13"/>
        <color theme="1"/>
        <rFont val="Calibri"/>
        <family val="2"/>
        <scheme val="minor"/>
      </rPr>
      <t>unabhängig vom Lichtpaket</t>
    </r>
  </si>
  <si>
    <t xml:space="preserve">Vorteil: Pufferspeicher hält Spannung aufrecht </t>
  </si>
  <si>
    <t>Bürstenwagen</t>
  </si>
  <si>
    <r>
      <t>Basis-Modell ohne Räder</t>
    </r>
    <r>
      <rPr>
        <i/>
        <sz val="14"/>
        <color theme="1"/>
        <rFont val="Calibri"/>
        <family val="2"/>
        <scheme val="minor"/>
      </rPr>
      <t xml:space="preserve"> (Fahrgestell muss noch gewählt werden, mit Getriebe oder Fahrgestell)</t>
    </r>
  </si>
  <si>
    <r>
      <t xml:space="preserve">Der Führerstand wird im Standard mit grauen Scheiben (undurchsichtig) ausgeliefert </t>
    </r>
    <r>
      <rPr>
        <i/>
        <sz val="14"/>
        <color theme="1"/>
        <rFont val="Calibri"/>
        <family val="2"/>
        <scheme val="minor"/>
      </rPr>
      <t>(siehe Definition Lichtpakete)</t>
    </r>
  </si>
  <si>
    <t>blinkende LED in der Instrumentenanzeige (zuschaltbar über Decoder)</t>
  </si>
  <si>
    <t>**Versand außerhalb Deutschland 36,99€</t>
  </si>
  <si>
    <t>Verpackung und Versand**</t>
  </si>
  <si>
    <r>
      <t>BW2</t>
    </r>
    <r>
      <rPr>
        <b/>
        <sz val="28"/>
        <color theme="3" tint="0.79998168889431442"/>
        <rFont val="Calibri"/>
        <family val="2"/>
        <scheme val="minor"/>
      </rPr>
      <t>-</t>
    </r>
  </si>
  <si>
    <t xml:space="preserve">Ausland </t>
  </si>
  <si>
    <t>Deutsch</t>
  </si>
  <si>
    <t>Versandgebühren</t>
  </si>
  <si>
    <t xml:space="preserve">Typencode   </t>
  </si>
  <si>
    <t xml:space="preserve">Rücklichter, zwei Front-Scheinwerfer, </t>
  </si>
  <si>
    <t xml:space="preserve">15019  Rundumleuchte </t>
  </si>
  <si>
    <t>15012  Blinklicht (1 Stück )</t>
  </si>
  <si>
    <t>15010  Wechselblinker (2 Stück)</t>
  </si>
  <si>
    <t>14066  Ersatz-Riemen für BW2</t>
  </si>
  <si>
    <t>15007  Schneeplug</t>
  </si>
  <si>
    <t>Stromversorgung der Bürste - von Akku</t>
  </si>
  <si>
    <t>Stromversorgung der Bürste - von Schiene</t>
  </si>
  <si>
    <t>15009  Anhänger für BW2 (Standard)</t>
  </si>
  <si>
    <t xml:space="preserve"> Sound-Decoder inkl. Lautsprecher</t>
  </si>
  <si>
    <t xml:space="preserve"> Standard-Decoder</t>
  </si>
  <si>
    <r>
      <t>DS</t>
    </r>
    <r>
      <rPr>
        <b/>
        <sz val="15"/>
        <color theme="3" tint="0.59999389629810485"/>
        <rFont val="Calibri"/>
        <family val="2"/>
        <scheme val="minor"/>
      </rPr>
      <t>-</t>
    </r>
  </si>
  <si>
    <t>DIGITAL fahren (inkl. Einbau), mit</t>
  </si>
  <si>
    <t>über Potentiometer (Drehschalter)</t>
  </si>
  <si>
    <t xml:space="preserve"> Nachteil: Bürste wird an einem stromlosen Abschnitt stehen bleiben</t>
  </si>
  <si>
    <t>Scheiben.</t>
  </si>
  <si>
    <t>Der BW2 kann mit einem Lichtpaket ausgestattet werden. Im Standard besitzt er graue, undurchsichtige</t>
  </si>
  <si>
    <t>Alle Preise sind inklusive gesetzlicher Mehrwertsteuer von 19%.</t>
  </si>
  <si>
    <t>Einheiten</t>
  </si>
  <si>
    <r>
      <t>4</t>
    </r>
    <r>
      <rPr>
        <b/>
        <sz val="15"/>
        <color theme="3" tint="0.59999389629810485"/>
        <rFont val="Calibri"/>
        <family val="2"/>
        <scheme val="minor"/>
      </rPr>
      <t>-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</si>
</sst>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&quot;€&quot;* #,##0.00_);_(&quot;€&quot;* \(#,##0.00\);_(&quot;€&quot;* &quot;-&quot;??_);_(@_)"/>
    <numFmt numFmtId="165" formatCode="&quot;€&quot;#,##0_);[Red]\(&quot;€&quot;#,##0\)"/>
    <numFmt numFmtId="166" formatCode="&quot;€&quot;#,##0.00_);[Red]\(&quot;€&quot;#,##0.00\)"/>
    <numFmt numFmtId="168" formatCode="#,##0.00\ &quot;€&quot;"/>
    <numFmt numFmtId="169" formatCode="#,##0.00\ _€"/>
    <numFmt numFmtId="176" formatCode="_-* #,##0.00\ [$€-407]_-;\-* #,##0.00\ [$€-407]_-;_-* &quot;-&quot;??\ [$€-407]_-;_-@_-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 tint="4.9989318521683403E-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3"/>
      <color theme="1"/>
      <name val="DIN Pro"/>
    </font>
    <font>
      <sz val="16"/>
      <color theme="1"/>
      <name val="DIN Pro"/>
    </font>
    <font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1"/>
      <name val="DIN Pro"/>
    </font>
    <font>
      <sz val="2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i/>
      <sz val="13"/>
      <color theme="1"/>
      <name val="DIN Pro"/>
    </font>
    <font>
      <sz val="13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8"/>
      <color theme="1"/>
      <name val="DIN Pro"/>
    </font>
    <font>
      <b/>
      <sz val="26"/>
      <color theme="1"/>
      <name val="DIN Pro"/>
    </font>
    <font>
      <sz val="18"/>
      <color theme="1"/>
      <name val="DIN Pro"/>
    </font>
    <font>
      <i/>
      <sz val="18"/>
      <color theme="1"/>
      <name val="DIN Pro"/>
    </font>
    <font>
      <b/>
      <sz val="14"/>
      <color theme="2" tint="-9.9978637043366805E-2"/>
      <name val="Calibri"/>
      <family val="2"/>
      <scheme val="minor"/>
    </font>
    <font>
      <sz val="14"/>
      <color rgb="FF00B0F0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3" tint="0.59999389629810485"/>
      <name val="Calibri"/>
      <family val="2"/>
      <scheme val="minor"/>
    </font>
    <font>
      <i/>
      <sz val="16"/>
      <color theme="1"/>
      <name val="DIN Pro"/>
    </font>
    <font>
      <b/>
      <sz val="28"/>
      <color theme="1"/>
      <name val="DIN Pro"/>
    </font>
    <font>
      <u/>
      <sz val="14"/>
      <color theme="1"/>
      <name val="Calibri"/>
      <family val="2"/>
      <scheme val="minor"/>
    </font>
    <font>
      <b/>
      <sz val="20"/>
      <color theme="1"/>
      <name val="DIN Pro"/>
    </font>
    <font>
      <sz val="18"/>
      <color rgb="FFFF0000"/>
      <name val="DIN Pro"/>
    </font>
    <font>
      <sz val="16"/>
      <color rgb="FFFF0000"/>
      <name val="DIN Pro"/>
    </font>
    <font>
      <u/>
      <sz val="20"/>
      <color theme="10"/>
      <name val="DIN Pro"/>
    </font>
    <font>
      <b/>
      <sz val="11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8"/>
      <color theme="1"/>
      <name val="Calibri"/>
      <family val="2"/>
      <scheme val="minor"/>
    </font>
    <font>
      <sz val="25"/>
      <color theme="1"/>
      <name val="DIN Pro"/>
    </font>
    <font>
      <b/>
      <sz val="26"/>
      <color rgb="FF00B0F0"/>
      <name val="DIN Pro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20"/>
      <color theme="1"/>
      <name val="Calibri"/>
      <family val="2"/>
      <scheme val="minor"/>
    </font>
    <font>
      <sz val="13"/>
      <name val="Calibri"/>
      <family val="2"/>
      <scheme val="minor"/>
    </font>
    <font>
      <sz val="13"/>
      <color theme="0" tint="-0.14999847407452621"/>
      <name val="Calibri"/>
      <family val="2"/>
      <scheme val="minor"/>
    </font>
    <font>
      <b/>
      <sz val="28"/>
      <color theme="3" tint="0.79998168889431442"/>
      <name val="Calibri"/>
      <family val="2"/>
      <scheme val="minor"/>
    </font>
    <font>
      <sz val="33"/>
      <color theme="1"/>
      <name val="Calibri"/>
      <family val="2"/>
      <scheme val="minor"/>
    </font>
    <font>
      <sz val="30"/>
      <color theme="1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rgb="FF99FF33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164" fontId="1" fillId="0" borderId="0" applyFont="0" applyFill="0" applyBorder="0" applyAlignment="0" applyProtection="0"/>
    <xf numFmtId="0" fontId="7" fillId="9" borderId="0" applyNumberFormat="0" applyBorder="0" applyAlignment="0" applyProtection="0"/>
    <xf numFmtId="0" fontId="8" fillId="10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3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50" fillId="28" borderId="32" applyNumberFormat="0" applyAlignment="0" applyProtection="0"/>
    <xf numFmtId="0" fontId="11" fillId="29" borderId="0" applyNumberFormat="0" applyBorder="0" applyAlignment="0" applyProtection="0"/>
    <xf numFmtId="0" fontId="55" fillId="0" borderId="0" applyNumberFormat="0" applyFill="0" applyBorder="0" applyAlignment="0" applyProtection="0"/>
    <xf numFmtId="0" fontId="56" fillId="0" borderId="34" applyNumberFormat="0" applyFill="0" applyAlignment="0" applyProtection="0"/>
    <xf numFmtId="0" fontId="57" fillId="0" borderId="35" applyNumberFormat="0" applyFill="0" applyAlignment="0" applyProtection="0"/>
    <xf numFmtId="0" fontId="58" fillId="0" borderId="36" applyNumberFormat="0" applyFill="0" applyAlignment="0" applyProtection="0"/>
    <xf numFmtId="0" fontId="58" fillId="0" borderId="0" applyNumberFormat="0" applyFill="0" applyBorder="0" applyAlignment="0" applyProtection="0"/>
    <xf numFmtId="0" fontId="59" fillId="31" borderId="37" applyNumberFormat="0" applyAlignment="0" applyProtection="0"/>
    <xf numFmtId="0" fontId="60" fillId="31" borderId="32" applyNumberFormat="0" applyAlignment="0" applyProtection="0"/>
    <xf numFmtId="0" fontId="61" fillId="0" borderId="38" applyNumberFormat="0" applyFill="0" applyAlignment="0" applyProtection="0"/>
    <xf numFmtId="0" fontId="48" fillId="32" borderId="39" applyNumberFormat="0" applyAlignment="0" applyProtection="0"/>
    <xf numFmtId="0" fontId="51" fillId="0" borderId="0" applyNumberFormat="0" applyFill="0" applyBorder="0" applyAlignment="0" applyProtection="0"/>
    <xf numFmtId="0" fontId="1" fillId="33" borderId="40" applyNumberFormat="0" applyFont="0" applyAlignment="0" applyProtection="0"/>
    <xf numFmtId="0" fontId="62" fillId="0" borderId="0" applyNumberFormat="0" applyFill="0" applyBorder="0" applyAlignment="0" applyProtection="0"/>
    <xf numFmtId="0" fontId="2" fillId="0" borderId="41" applyNumberFormat="0" applyFill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1" fillId="53" borderId="0" applyNumberFormat="0" applyBorder="0" applyAlignment="0" applyProtection="0"/>
  </cellStyleXfs>
  <cellXfs count="566">
    <xf numFmtId="0" fontId="0" fillId="0" borderId="0" xfId="0"/>
    <xf numFmtId="49" fontId="0" fillId="0" borderId="0" xfId="0" applyNumberFormat="1"/>
    <xf numFmtId="164" fontId="0" fillId="0" borderId="0" xfId="1" applyFont="1"/>
    <xf numFmtId="164" fontId="2" fillId="2" borderId="0" xfId="1" applyFont="1" applyFill="1"/>
    <xf numFmtId="0" fontId="3" fillId="3" borderId="0" xfId="0" applyFont="1" applyFill="1"/>
    <xf numFmtId="164" fontId="2" fillId="0" borderId="0" xfId="1" applyFont="1" applyFill="1"/>
    <xf numFmtId="49" fontId="2" fillId="0" borderId="0" xfId="0" applyNumberFormat="1" applyFont="1"/>
    <xf numFmtId="164" fontId="0" fillId="0" borderId="0" xfId="1" applyFont="1" applyAlignment="1">
      <alignment horizontal="right"/>
    </xf>
    <xf numFmtId="164" fontId="0" fillId="0" borderId="0" xfId="1" applyFont="1" applyAlignment="1">
      <alignment horizontal="center"/>
    </xf>
    <xf numFmtId="164" fontId="2" fillId="2" borderId="0" xfId="1" applyFont="1" applyFill="1" applyAlignment="1">
      <alignment horizontal="center"/>
    </xf>
    <xf numFmtId="164" fontId="2" fillId="0" borderId="0" xfId="1" applyFont="1" applyFill="1" applyAlignment="1">
      <alignment horizontal="center"/>
    </xf>
    <xf numFmtId="2" fontId="0" fillId="0" borderId="0" xfId="1" applyNumberFormat="1" applyFont="1" applyAlignment="1">
      <alignment horizontal="center"/>
    </xf>
    <xf numFmtId="164" fontId="3" fillId="3" borderId="0" xfId="1" applyFont="1" applyFill="1" applyAlignment="1">
      <alignment horizontal="center"/>
    </xf>
    <xf numFmtId="164" fontId="3" fillId="3" borderId="0" xfId="1" applyFont="1" applyFill="1" applyAlignment="1">
      <alignment horizontal="right"/>
    </xf>
    <xf numFmtId="164" fontId="2" fillId="2" borderId="0" xfId="1" applyFont="1" applyFill="1" applyAlignment="1">
      <alignment horizontal="right"/>
    </xf>
    <xf numFmtId="164" fontId="2" fillId="0" borderId="0" xfId="1" applyFont="1" applyFill="1" applyAlignment="1">
      <alignment horizontal="right"/>
    </xf>
    <xf numFmtId="2" fontId="3" fillId="3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3" fillId="5" borderId="0" xfId="0" applyFont="1" applyFill="1"/>
    <xf numFmtId="2" fontId="3" fillId="5" borderId="0" xfId="1" applyNumberFormat="1" applyFont="1" applyFill="1" applyAlignment="1">
      <alignment horizontal="center"/>
    </xf>
    <xf numFmtId="164" fontId="3" fillId="5" borderId="0" xfId="1" applyFont="1" applyFill="1" applyAlignment="1">
      <alignment horizontal="center"/>
    </xf>
    <xf numFmtId="164" fontId="3" fillId="5" borderId="0" xfId="1" applyFont="1" applyFill="1" applyAlignment="1">
      <alignment horizontal="right"/>
    </xf>
    <xf numFmtId="0" fontId="0" fillId="0" borderId="2" xfId="0" applyBorder="1"/>
    <xf numFmtId="0" fontId="0" fillId="0" borderId="0" xfId="0" applyAlignment="1">
      <alignment horizontal="left"/>
    </xf>
    <xf numFmtId="49" fontId="0" fillId="0" borderId="2" xfId="0" applyNumberFormat="1" applyBorder="1"/>
    <xf numFmtId="2" fontId="0" fillId="0" borderId="2" xfId="1" applyNumberFormat="1" applyFont="1" applyBorder="1" applyAlignment="1">
      <alignment horizontal="center"/>
    </xf>
    <xf numFmtId="164" fontId="0" fillId="0" borderId="2" xfId="1" applyFont="1" applyBorder="1" applyAlignment="1">
      <alignment horizontal="center"/>
    </xf>
    <xf numFmtId="164" fontId="2" fillId="0" borderId="2" xfId="1" applyFont="1" applyFill="1" applyBorder="1" applyAlignment="1">
      <alignment horizontal="right"/>
    </xf>
    <xf numFmtId="164" fontId="2" fillId="0" borderId="2" xfId="1" applyFont="1" applyFill="1" applyBorder="1" applyAlignment="1">
      <alignment horizontal="center"/>
    </xf>
    <xf numFmtId="2" fontId="0" fillId="0" borderId="0" xfId="1" applyNumberFormat="1" applyFont="1" applyAlignment="1">
      <alignment horizontal="left"/>
    </xf>
    <xf numFmtId="164" fontId="0" fillId="0" borderId="2" xfId="1" applyFont="1" applyBorder="1"/>
    <xf numFmtId="164" fontId="3" fillId="5" borderId="0" xfId="1" applyFont="1" applyFill="1"/>
    <xf numFmtId="164" fontId="0" fillId="2" borderId="0" xfId="1" applyFont="1" applyFill="1"/>
    <xf numFmtId="0" fontId="0" fillId="2" borderId="0" xfId="0" applyFill="1"/>
    <xf numFmtId="0" fontId="2" fillId="2" borderId="0" xfId="0" applyFont="1" applyFill="1" applyAlignment="1">
      <alignment horizontal="right"/>
    </xf>
    <xf numFmtId="0" fontId="0" fillId="0" borderId="4" xfId="0" applyBorder="1"/>
    <xf numFmtId="0" fontId="0" fillId="0" borderId="5" xfId="0" applyBorder="1"/>
    <xf numFmtId="164" fontId="0" fillId="0" borderId="5" xfId="1" applyFont="1" applyBorder="1"/>
    <xf numFmtId="0" fontId="0" fillId="6" borderId="6" xfId="0" applyFill="1" applyBorder="1" applyAlignment="1">
      <alignment horizontal="center"/>
    </xf>
    <xf numFmtId="0" fontId="0" fillId="0" borderId="7" xfId="0" applyBorder="1"/>
    <xf numFmtId="164" fontId="0" fillId="0" borderId="0" xfId="1" applyFon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164" fontId="0" fillId="0" borderId="0" xfId="1" applyFont="1" applyBorder="1" applyAlignment="1">
      <alignment horizontal="right"/>
    </xf>
    <xf numFmtId="0" fontId="0" fillId="0" borderId="7" xfId="0" applyBorder="1" applyAlignment="1">
      <alignment horizontal="right"/>
    </xf>
    <xf numFmtId="0" fontId="6" fillId="0" borderId="0" xfId="0" applyFont="1"/>
    <xf numFmtId="49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6" fontId="2" fillId="0" borderId="0" xfId="0" applyNumberFormat="1" applyFont="1" applyAlignment="1">
      <alignment horizontal="center"/>
    </xf>
    <xf numFmtId="2" fontId="0" fillId="0" borderId="0" xfId="1" applyNumberFormat="1" applyFont="1" applyFill="1" applyAlignment="1">
      <alignment horizontal="center"/>
    </xf>
    <xf numFmtId="1" fontId="0" fillId="0" borderId="0" xfId="0" applyNumberFormat="1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2" fontId="7" fillId="8" borderId="0" xfId="2" applyNumberFormat="1" applyFill="1" applyAlignment="1">
      <alignment horizontal="left"/>
    </xf>
    <xf numFmtId="2" fontId="1" fillId="14" borderId="0" xfId="6" applyNumberFormat="1" applyFill="1" applyAlignment="1">
      <alignment horizontal="left"/>
    </xf>
    <xf numFmtId="2" fontId="0" fillId="14" borderId="0" xfId="1" applyNumberFormat="1" applyFont="1" applyFill="1" applyAlignment="1">
      <alignment horizontal="left"/>
    </xf>
    <xf numFmtId="2" fontId="0" fillId="8" borderId="0" xfId="1" applyNumberFormat="1" applyFont="1" applyFill="1" applyAlignment="1">
      <alignment horizontal="left"/>
    </xf>
    <xf numFmtId="2" fontId="7" fillId="2" borderId="0" xfId="2" applyNumberFormat="1" applyFill="1" applyAlignment="1">
      <alignment horizontal="left"/>
    </xf>
    <xf numFmtId="2" fontId="0" fillId="2" borderId="0" xfId="1" applyNumberFormat="1" applyFont="1" applyFill="1" applyAlignment="1">
      <alignment horizontal="left"/>
    </xf>
    <xf numFmtId="2" fontId="0" fillId="14" borderId="0" xfId="0" applyNumberFormat="1" applyFill="1" applyAlignment="1">
      <alignment horizontal="center"/>
    </xf>
    <xf numFmtId="2" fontId="0" fillId="8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0" fillId="7" borderId="0" xfId="1" applyNumberFormat="1" applyFont="1" applyFill="1" applyAlignment="1">
      <alignment horizontal="left"/>
    </xf>
    <xf numFmtId="0" fontId="0" fillId="7" borderId="0" xfId="0" applyFill="1"/>
    <xf numFmtId="0" fontId="0" fillId="15" borderId="0" xfId="0" applyFill="1"/>
    <xf numFmtId="2" fontId="1" fillId="15" borderId="0" xfId="3" applyNumberFormat="1" applyFont="1" applyFill="1" applyAlignment="1">
      <alignment horizontal="left"/>
    </xf>
    <xf numFmtId="2" fontId="0" fillId="15" borderId="0" xfId="1" applyNumberFormat="1" applyFont="1" applyFill="1" applyAlignment="1">
      <alignment horizontal="center"/>
    </xf>
    <xf numFmtId="2" fontId="0" fillId="7" borderId="0" xfId="1" applyNumberFormat="1" applyFont="1" applyFill="1" applyAlignment="1">
      <alignment horizontal="center"/>
    </xf>
    <xf numFmtId="168" fontId="0" fillId="0" borderId="0" xfId="0" applyNumberFormat="1"/>
    <xf numFmtId="0" fontId="7" fillId="0" borderId="0" xfId="2" applyFill="1" applyAlignment="1">
      <alignment horizontal="center"/>
    </xf>
    <xf numFmtId="0" fontId="0" fillId="14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2" borderId="0" xfId="0" applyFill="1" applyAlignment="1">
      <alignment horizontal="center"/>
    </xf>
    <xf numFmtId="166" fontId="9" fillId="0" borderId="0" xfId="2" applyNumberFormat="1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6" borderId="0" xfId="0" applyFill="1" applyAlignment="1">
      <alignment horizontal="center"/>
    </xf>
    <xf numFmtId="166" fontId="1" fillId="0" borderId="0" xfId="2" applyNumberFormat="1" applyFont="1" applyFill="1" applyAlignment="1">
      <alignment horizontal="center"/>
    </xf>
    <xf numFmtId="0" fontId="1" fillId="0" borderId="0" xfId="2" applyFont="1" applyFill="1" applyAlignment="1">
      <alignment horizontal="center"/>
    </xf>
    <xf numFmtId="169" fontId="0" fillId="0" borderId="0" xfId="1" applyNumberFormat="1" applyFont="1" applyAlignment="1">
      <alignment horizontal="center"/>
    </xf>
    <xf numFmtId="168" fontId="0" fillId="0" borderId="0" xfId="0" applyNumberFormat="1" applyAlignment="1">
      <alignment horizontal="center"/>
    </xf>
    <xf numFmtId="168" fontId="0" fillId="0" borderId="0" xfId="1" applyNumberFormat="1" applyFont="1" applyAlignment="1">
      <alignment horizontal="center"/>
    </xf>
    <xf numFmtId="168" fontId="7" fillId="0" borderId="0" xfId="2" applyNumberForma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3" applyFont="1" applyFill="1" applyAlignment="1">
      <alignment horizontal="center"/>
    </xf>
    <xf numFmtId="0" fontId="0" fillId="0" borderId="9" xfId="0" applyBorder="1" applyAlignment="1">
      <alignment horizontal="right"/>
    </xf>
    <xf numFmtId="9" fontId="3" fillId="5" borderId="0" xfId="1" applyNumberFormat="1" applyFont="1" applyFill="1" applyAlignment="1">
      <alignment horizontal="center"/>
    </xf>
    <xf numFmtId="0" fontId="12" fillId="12" borderId="0" xfId="5" applyFont="1"/>
    <xf numFmtId="0" fontId="10" fillId="11" borderId="0" xfId="4"/>
    <xf numFmtId="168" fontId="10" fillId="11" borderId="0" xfId="4" applyNumberFormat="1" applyAlignment="1">
      <alignment horizontal="center"/>
    </xf>
    <xf numFmtId="166" fontId="10" fillId="11" borderId="0" xfId="4" applyNumberFormat="1" applyAlignment="1">
      <alignment horizontal="center"/>
    </xf>
    <xf numFmtId="169" fontId="10" fillId="11" borderId="0" xfId="4" applyNumberFormat="1" applyAlignment="1">
      <alignment horizontal="center"/>
    </xf>
    <xf numFmtId="49" fontId="3" fillId="15" borderId="0" xfId="0" applyNumberFormat="1" applyFont="1" applyFill="1"/>
    <xf numFmtId="0" fontId="0" fillId="4" borderId="0" xfId="0" applyFill="1"/>
    <xf numFmtId="164" fontId="0" fillId="4" borderId="0" xfId="0" applyNumberFormat="1" applyFill="1"/>
    <xf numFmtId="0" fontId="0" fillId="4" borderId="2" xfId="0" applyFill="1" applyBorder="1"/>
    <xf numFmtId="164" fontId="0" fillId="4" borderId="2" xfId="0" applyNumberFormat="1" applyFill="1" applyBorder="1"/>
    <xf numFmtId="0" fontId="5" fillId="4" borderId="0" xfId="0" applyFont="1" applyFill="1"/>
    <xf numFmtId="164" fontId="5" fillId="4" borderId="0" xfId="0" applyNumberFormat="1" applyFont="1" applyFill="1"/>
    <xf numFmtId="9" fontId="0" fillId="4" borderId="0" xfId="0" applyNumberFormat="1" applyFill="1"/>
    <xf numFmtId="164" fontId="4" fillId="4" borderId="3" xfId="0" applyNumberFormat="1" applyFont="1" applyFill="1" applyBorder="1"/>
    <xf numFmtId="0" fontId="4" fillId="4" borderId="3" xfId="0" applyFont="1" applyFill="1" applyBorder="1"/>
    <xf numFmtId="0" fontId="13" fillId="0" borderId="0" xfId="7" applyAlignment="1">
      <alignment horizontal="center"/>
    </xf>
    <xf numFmtId="0" fontId="39" fillId="0" borderId="14" xfId="0" applyFont="1" applyBorder="1" applyAlignment="1" applyProtection="1">
      <alignment horizontal="center" vertical="center"/>
      <protection locked="0"/>
    </xf>
    <xf numFmtId="0" fontId="39" fillId="0" borderId="1" xfId="0" applyFont="1" applyBorder="1" applyAlignment="1" applyProtection="1">
      <alignment horizontal="center" vertical="center"/>
      <protection locked="0"/>
    </xf>
    <xf numFmtId="0" fontId="24" fillId="0" borderId="0" xfId="0" applyFont="1" applyProtection="1"/>
    <xf numFmtId="0" fontId="24" fillId="6" borderId="25" xfId="0" applyFont="1" applyFill="1" applyBorder="1" applyProtection="1"/>
    <xf numFmtId="0" fontId="23" fillId="27" borderId="7" xfId="0" applyFont="1" applyFill="1" applyBorder="1" applyProtection="1"/>
    <xf numFmtId="0" fontId="23" fillId="27" borderId="0" xfId="0" applyFont="1" applyFill="1" applyBorder="1" applyProtection="1"/>
    <xf numFmtId="0" fontId="23" fillId="27" borderId="0" xfId="0" applyFont="1" applyFill="1" applyBorder="1" applyAlignment="1" applyProtection="1">
      <alignment horizontal="right"/>
    </xf>
    <xf numFmtId="0" fontId="3" fillId="27" borderId="3" xfId="0" applyFont="1" applyFill="1" applyBorder="1" applyAlignment="1" applyProtection="1">
      <alignment horizontal="right"/>
    </xf>
    <xf numFmtId="0" fontId="23" fillId="27" borderId="3" xfId="0" applyFont="1" applyFill="1" applyBorder="1" applyProtection="1"/>
    <xf numFmtId="164" fontId="3" fillId="27" borderId="3" xfId="1" applyFont="1" applyFill="1" applyBorder="1" applyAlignment="1" applyProtection="1"/>
    <xf numFmtId="176" fontId="23" fillId="27" borderId="33" xfId="1" applyNumberFormat="1" applyFont="1" applyFill="1" applyBorder="1" applyAlignment="1" applyProtection="1">
      <alignment horizontal="right"/>
    </xf>
    <xf numFmtId="0" fontId="23" fillId="6" borderId="0" xfId="0" applyFont="1" applyFill="1" applyBorder="1" applyProtection="1"/>
    <xf numFmtId="0" fontId="24" fillId="6" borderId="0" xfId="0" applyFont="1" applyFill="1" applyBorder="1" applyProtection="1"/>
    <xf numFmtId="0" fontId="23" fillId="30" borderId="22" xfId="0" applyFont="1" applyFill="1" applyBorder="1" applyProtection="1"/>
    <xf numFmtId="0" fontId="24" fillId="30" borderId="23" xfId="0" applyFont="1" applyFill="1" applyBorder="1" applyProtection="1"/>
    <xf numFmtId="0" fontId="49" fillId="30" borderId="23" xfId="0" applyFont="1" applyFill="1" applyBorder="1" applyAlignment="1" applyProtection="1">
      <alignment horizontal="right" vertical="center"/>
    </xf>
    <xf numFmtId="0" fontId="49" fillId="30" borderId="23" xfId="0" applyFont="1" applyFill="1" applyBorder="1" applyAlignment="1" applyProtection="1">
      <alignment horizontal="left" vertical="center"/>
    </xf>
    <xf numFmtId="0" fontId="49" fillId="30" borderId="24" xfId="0" applyFont="1" applyFill="1" applyBorder="1" applyAlignment="1" applyProtection="1">
      <alignment horizontal="left" vertical="center"/>
    </xf>
    <xf numFmtId="0" fontId="23" fillId="27" borderId="9" xfId="0" applyFont="1" applyFill="1" applyBorder="1" applyProtection="1"/>
    <xf numFmtId="0" fontId="23" fillId="27" borderId="2" xfId="0" applyFont="1" applyFill="1" applyBorder="1" applyProtection="1"/>
    <xf numFmtId="0" fontId="23" fillId="27" borderId="2" xfId="0" applyFont="1" applyFill="1" applyBorder="1" applyAlignment="1" applyProtection="1">
      <alignment horizontal="right"/>
    </xf>
    <xf numFmtId="0" fontId="28" fillId="27" borderId="2" xfId="0" applyFont="1" applyFill="1" applyBorder="1" applyProtection="1"/>
    <xf numFmtId="0" fontId="28" fillId="27" borderId="2" xfId="0" applyFont="1" applyFill="1" applyBorder="1" applyAlignment="1" applyProtection="1">
      <alignment horizontal="right"/>
    </xf>
    <xf numFmtId="176" fontId="31" fillId="27" borderId="10" xfId="0" applyNumberFormat="1" applyFont="1" applyFill="1" applyBorder="1" applyProtection="1"/>
    <xf numFmtId="0" fontId="23" fillId="30" borderId="25" xfId="0" applyFont="1" applyFill="1" applyBorder="1" applyProtection="1"/>
    <xf numFmtId="0" fontId="24" fillId="30" borderId="0" xfId="0" applyFont="1" applyFill="1" applyBorder="1" applyProtection="1"/>
    <xf numFmtId="0" fontId="49" fillId="30" borderId="0" xfId="0" applyFont="1" applyFill="1" applyBorder="1" applyAlignment="1" applyProtection="1">
      <alignment horizontal="right" vertical="center"/>
    </xf>
    <xf numFmtId="0" fontId="49" fillId="30" borderId="0" xfId="0" applyFont="1" applyFill="1" applyBorder="1" applyAlignment="1" applyProtection="1">
      <alignment horizontal="left" vertical="center"/>
    </xf>
    <xf numFmtId="0" fontId="49" fillId="30" borderId="26" xfId="0" applyFont="1" applyFill="1" applyBorder="1" applyAlignment="1" applyProtection="1">
      <alignment horizontal="left" vertical="center"/>
    </xf>
    <xf numFmtId="0" fontId="24" fillId="6" borderId="27" xfId="0" applyFont="1" applyFill="1" applyBorder="1" applyProtection="1"/>
    <xf numFmtId="0" fontId="23" fillId="6" borderId="13" xfId="0" applyFont="1" applyFill="1" applyBorder="1" applyProtection="1"/>
    <xf numFmtId="0" fontId="23" fillId="6" borderId="13" xfId="0" applyFont="1" applyFill="1" applyBorder="1" applyAlignment="1" applyProtection="1">
      <alignment horizontal="right"/>
    </xf>
    <xf numFmtId="176" fontId="23" fillId="6" borderId="13" xfId="0" applyNumberFormat="1" applyFont="1" applyFill="1" applyBorder="1" applyAlignment="1" applyProtection="1">
      <alignment horizontal="right"/>
    </xf>
    <xf numFmtId="0" fontId="24" fillId="6" borderId="13" xfId="0" applyFont="1" applyFill="1" applyBorder="1" applyProtection="1"/>
    <xf numFmtId="0" fontId="23" fillId="30" borderId="27" xfId="0" applyFont="1" applyFill="1" applyBorder="1" applyProtection="1"/>
    <xf numFmtId="0" fontId="24" fillId="30" borderId="13" xfId="0" applyFont="1" applyFill="1" applyBorder="1" applyProtection="1"/>
    <xf numFmtId="0" fontId="49" fillId="30" borderId="13" xfId="0" applyFont="1" applyFill="1" applyBorder="1" applyAlignment="1" applyProtection="1">
      <alignment horizontal="right" vertical="center"/>
    </xf>
    <xf numFmtId="0" fontId="49" fillId="30" borderId="13" xfId="0" applyFont="1" applyFill="1" applyBorder="1" applyAlignment="1" applyProtection="1">
      <alignment horizontal="left" vertical="center"/>
    </xf>
    <xf numFmtId="0" fontId="49" fillId="30" borderId="28" xfId="0" applyFont="1" applyFill="1" applyBorder="1" applyAlignment="1" applyProtection="1">
      <alignment horizontal="left" vertical="center"/>
    </xf>
    <xf numFmtId="0" fontId="24" fillId="0" borderId="0" xfId="0" applyFont="1" applyAlignment="1" applyProtection="1">
      <alignment horizontal="right"/>
    </xf>
    <xf numFmtId="0" fontId="23" fillId="0" borderId="0" xfId="0" applyFont="1" applyProtection="1"/>
    <xf numFmtId="0" fontId="24" fillId="0" borderId="0" xfId="0" applyFont="1" applyBorder="1" applyProtection="1"/>
    <xf numFmtId="0" fontId="3" fillId="21" borderId="9" xfId="0" applyFont="1" applyFill="1" applyBorder="1" applyAlignment="1" applyProtection="1">
      <alignment horizontal="center"/>
    </xf>
    <xf numFmtId="0" fontId="23" fillId="21" borderId="2" xfId="0" applyFont="1" applyFill="1" applyBorder="1" applyProtection="1"/>
    <xf numFmtId="176" fontId="23" fillId="21" borderId="10" xfId="1" applyNumberFormat="1" applyFont="1" applyFill="1" applyBorder="1" applyProtection="1"/>
    <xf numFmtId="0" fontId="24" fillId="6" borderId="26" xfId="0" applyFont="1" applyFill="1" applyBorder="1" applyProtection="1"/>
    <xf numFmtId="0" fontId="24" fillId="27" borderId="29" xfId="0" applyFont="1" applyFill="1" applyBorder="1" applyProtection="1"/>
    <xf numFmtId="0" fontId="24" fillId="27" borderId="13" xfId="0" applyFont="1" applyFill="1" applyBorder="1" applyProtection="1"/>
    <xf numFmtId="0" fontId="24" fillId="27" borderId="13" xfId="0" applyFont="1" applyFill="1" applyBorder="1" applyAlignment="1" applyProtection="1">
      <alignment horizontal="right"/>
    </xf>
    <xf numFmtId="0" fontId="23" fillId="27" borderId="13" xfId="0" applyFont="1" applyFill="1" applyBorder="1" applyAlignment="1" applyProtection="1">
      <alignment horizontal="right"/>
    </xf>
    <xf numFmtId="0" fontId="23" fillId="27" borderId="13" xfId="0" applyFont="1" applyFill="1" applyBorder="1" applyProtection="1"/>
    <xf numFmtId="164" fontId="23" fillId="27" borderId="13" xfId="1" applyFont="1" applyFill="1" applyBorder="1" applyAlignment="1" applyProtection="1"/>
    <xf numFmtId="176" fontId="23" fillId="27" borderId="30" xfId="1" applyNumberFormat="1" applyFont="1" applyFill="1" applyBorder="1" applyAlignment="1" applyProtection="1">
      <alignment horizontal="right"/>
    </xf>
    <xf numFmtId="164" fontId="23" fillId="21" borderId="2" xfId="1" applyFont="1" applyFill="1" applyBorder="1" applyProtection="1"/>
    <xf numFmtId="176" fontId="23" fillId="21" borderId="10" xfId="1" applyNumberFormat="1" applyFont="1" applyFill="1" applyBorder="1" applyAlignment="1" applyProtection="1"/>
    <xf numFmtId="0" fontId="3" fillId="21" borderId="7" xfId="0" applyFont="1" applyFill="1" applyBorder="1" applyAlignment="1" applyProtection="1">
      <alignment horizontal="center"/>
    </xf>
    <xf numFmtId="0" fontId="23" fillId="21" borderId="0" xfId="0" applyFont="1" applyFill="1" applyBorder="1" applyProtection="1"/>
    <xf numFmtId="176" fontId="23" fillId="21" borderId="8" xfId="1" applyNumberFormat="1" applyFont="1" applyFill="1" applyBorder="1" applyProtection="1"/>
    <xf numFmtId="164" fontId="23" fillId="0" borderId="0" xfId="1" applyFont="1" applyFill="1" applyProtection="1"/>
    <xf numFmtId="0" fontId="3" fillId="27" borderId="0" xfId="0" applyFont="1" applyFill="1" applyBorder="1" applyAlignment="1" applyProtection="1">
      <alignment horizontal="left"/>
    </xf>
    <xf numFmtId="164" fontId="23" fillId="27" borderId="0" xfId="1" applyFont="1" applyFill="1" applyBorder="1" applyAlignment="1" applyProtection="1"/>
    <xf numFmtId="176" fontId="23" fillId="27" borderId="8" xfId="1" applyNumberFormat="1" applyFont="1" applyFill="1" applyBorder="1" applyAlignment="1" applyProtection="1">
      <alignment horizontal="right"/>
    </xf>
    <xf numFmtId="0" fontId="23" fillId="25" borderId="4" xfId="0" applyFont="1" applyFill="1" applyBorder="1" applyAlignment="1" applyProtection="1">
      <alignment horizontal="center"/>
    </xf>
    <xf numFmtId="0" fontId="3" fillId="25" borderId="5" xfId="0" applyFont="1" applyFill="1" applyBorder="1" applyProtection="1"/>
    <xf numFmtId="0" fontId="23" fillId="25" borderId="5" xfId="0" applyFont="1" applyFill="1" applyBorder="1" applyAlignment="1" applyProtection="1">
      <alignment horizontal="right"/>
    </xf>
    <xf numFmtId="0" fontId="23" fillId="25" borderId="6" xfId="0" applyFont="1" applyFill="1" applyBorder="1" applyAlignment="1" applyProtection="1">
      <alignment horizontal="right"/>
    </xf>
    <xf numFmtId="0" fontId="23" fillId="0" borderId="0" xfId="0" applyFont="1" applyAlignment="1" applyProtection="1">
      <alignment horizontal="right"/>
    </xf>
    <xf numFmtId="0" fontId="63" fillId="0" borderId="0" xfId="0" applyFont="1" applyProtection="1"/>
    <xf numFmtId="0" fontId="63" fillId="24" borderId="7" xfId="0" applyFont="1" applyFill="1" applyBorder="1" applyAlignment="1" applyProtection="1">
      <alignment horizontal="right"/>
    </xf>
    <xf numFmtId="0" fontId="63" fillId="24" borderId="0" xfId="0" applyFont="1" applyFill="1" applyBorder="1" applyAlignment="1" applyProtection="1">
      <alignment horizontal="right"/>
    </xf>
    <xf numFmtId="0" fontId="63" fillId="24" borderId="0" xfId="0" applyFont="1" applyFill="1" applyBorder="1" applyProtection="1"/>
    <xf numFmtId="0" fontId="63" fillId="24" borderId="8" xfId="0" applyFont="1" applyFill="1" applyBorder="1" applyProtection="1"/>
    <xf numFmtId="0" fontId="63" fillId="0" borderId="0" xfId="0" applyFont="1" applyAlignment="1" applyProtection="1">
      <alignment horizontal="right"/>
    </xf>
    <xf numFmtId="0" fontId="63" fillId="0" borderId="7" xfId="0" applyFont="1" applyBorder="1" applyProtection="1"/>
    <xf numFmtId="0" fontId="63" fillId="0" borderId="0" xfId="0" applyFont="1" applyBorder="1" applyProtection="1"/>
    <xf numFmtId="0" fontId="24" fillId="0" borderId="0" xfId="0" applyFont="1" applyBorder="1" applyAlignment="1" applyProtection="1">
      <alignment horizontal="right"/>
    </xf>
    <xf numFmtId="0" fontId="63" fillId="0" borderId="8" xfId="0" applyFont="1" applyBorder="1" applyAlignment="1" applyProtection="1">
      <alignment horizontal="right"/>
    </xf>
    <xf numFmtId="0" fontId="23" fillId="24" borderId="7" xfId="0" applyFont="1" applyFill="1" applyBorder="1" applyAlignment="1" applyProtection="1">
      <alignment horizontal="right"/>
    </xf>
    <xf numFmtId="0" fontId="23" fillId="24" borderId="0" xfId="0" applyFont="1" applyFill="1" applyBorder="1" applyAlignment="1" applyProtection="1">
      <alignment horizontal="right"/>
    </xf>
    <xf numFmtId="0" fontId="23" fillId="24" borderId="0" xfId="0" applyFont="1" applyFill="1" applyBorder="1" applyProtection="1"/>
    <xf numFmtId="0" fontId="23" fillId="24" borderId="8" xfId="0" applyFont="1" applyFill="1" applyBorder="1" applyProtection="1"/>
    <xf numFmtId="0" fontId="24" fillId="0" borderId="7" xfId="0" applyFont="1" applyBorder="1" applyProtection="1"/>
    <xf numFmtId="0" fontId="24" fillId="0" borderId="8" xfId="0" applyFont="1" applyBorder="1" applyAlignment="1" applyProtection="1">
      <alignment horizontal="right"/>
    </xf>
    <xf numFmtId="0" fontId="14" fillId="16" borderId="14" xfId="0" applyFont="1" applyFill="1" applyBorder="1" applyProtection="1"/>
    <xf numFmtId="0" fontId="3" fillId="16" borderId="11" xfId="0" applyFont="1" applyFill="1" applyBorder="1" applyProtection="1"/>
    <xf numFmtId="0" fontId="3" fillId="16" borderId="15" xfId="0" applyFont="1" applyFill="1" applyBorder="1" applyProtection="1"/>
    <xf numFmtId="0" fontId="24" fillId="0" borderId="9" xfId="0" applyFont="1" applyBorder="1" applyProtection="1"/>
    <xf numFmtId="0" fontId="24" fillId="0" borderId="2" xfId="0" applyFont="1" applyBorder="1" applyProtection="1"/>
    <xf numFmtId="0" fontId="24" fillId="0" borderId="10" xfId="0" applyFont="1" applyBorder="1" applyProtection="1"/>
    <xf numFmtId="164" fontId="23" fillId="21" borderId="11" xfId="1" applyFont="1" applyFill="1" applyBorder="1" applyProtection="1"/>
    <xf numFmtId="0" fontId="24" fillId="21" borderId="11" xfId="0" applyFont="1" applyFill="1" applyBorder="1" applyProtection="1"/>
    <xf numFmtId="176" fontId="23" fillId="21" borderId="15" xfId="1" applyNumberFormat="1" applyFont="1" applyFill="1" applyBorder="1" applyProtection="1"/>
    <xf numFmtId="0" fontId="23" fillId="0" borderId="7" xfId="0" applyFont="1" applyBorder="1" applyAlignment="1" applyProtection="1">
      <alignment horizontal="right"/>
    </xf>
    <xf numFmtId="0" fontId="23" fillId="0" borderId="0" xfId="0" applyFont="1" applyBorder="1" applyProtection="1"/>
    <xf numFmtId="0" fontId="23" fillId="0" borderId="0" xfId="0" applyFont="1" applyBorder="1" applyAlignment="1" applyProtection="1">
      <alignment horizontal="left"/>
    </xf>
    <xf numFmtId="0" fontId="23" fillId="0" borderId="8" xfId="0" applyFont="1" applyBorder="1" applyAlignment="1" applyProtection="1">
      <alignment horizontal="left"/>
    </xf>
    <xf numFmtId="0" fontId="23" fillId="24" borderId="7" xfId="0" applyFont="1" applyFill="1" applyBorder="1" applyAlignment="1" applyProtection="1">
      <alignment horizontal="center"/>
    </xf>
    <xf numFmtId="164" fontId="31" fillId="24" borderId="0" xfId="1" applyFont="1" applyFill="1" applyBorder="1" applyProtection="1"/>
    <xf numFmtId="164" fontId="31" fillId="24" borderId="8" xfId="1" applyFont="1" applyFill="1" applyBorder="1" applyProtection="1"/>
    <xf numFmtId="0" fontId="23" fillId="0" borderId="4" xfId="0" applyFont="1" applyBorder="1" applyAlignment="1" applyProtection="1">
      <alignment horizontal="right"/>
    </xf>
    <xf numFmtId="0" fontId="23" fillId="0" borderId="5" xfId="0" applyFont="1" applyBorder="1" applyProtection="1"/>
    <xf numFmtId="0" fontId="23" fillId="0" borderId="5" xfId="0" applyFont="1" applyBorder="1" applyAlignment="1" applyProtection="1">
      <alignment horizontal="left"/>
    </xf>
    <xf numFmtId="0" fontId="23" fillId="0" borderId="6" xfId="0" applyFont="1" applyBorder="1" applyAlignment="1" applyProtection="1">
      <alignment horizontal="left"/>
    </xf>
    <xf numFmtId="0" fontId="23" fillId="3" borderId="7" xfId="0" applyFont="1" applyFill="1" applyBorder="1" applyAlignment="1" applyProtection="1">
      <alignment horizontal="right"/>
    </xf>
    <xf numFmtId="0" fontId="23" fillId="20" borderId="0" xfId="0" applyFont="1" applyFill="1" applyProtection="1"/>
    <xf numFmtId="0" fontId="23" fillId="20" borderId="0" xfId="0" applyFont="1" applyFill="1" applyAlignment="1" applyProtection="1">
      <alignment horizontal="left"/>
    </xf>
    <xf numFmtId="0" fontId="23" fillId="20" borderId="8" xfId="0" applyFont="1" applyFill="1" applyBorder="1" applyProtection="1"/>
    <xf numFmtId="0" fontId="23" fillId="24" borderId="4" xfId="0" applyFont="1" applyFill="1" applyBorder="1" applyAlignment="1" applyProtection="1">
      <alignment horizontal="center"/>
    </xf>
    <xf numFmtId="0" fontId="23" fillId="24" borderId="5" xfId="0" applyFont="1" applyFill="1" applyBorder="1" applyProtection="1"/>
    <xf numFmtId="0" fontId="24" fillId="0" borderId="5" xfId="0" applyFont="1" applyBorder="1" applyAlignment="1" applyProtection="1">
      <alignment horizontal="right"/>
    </xf>
    <xf numFmtId="0" fontId="24" fillId="0" borderId="5" xfId="0" applyFont="1" applyBorder="1" applyProtection="1"/>
    <xf numFmtId="164" fontId="31" fillId="24" borderId="5" xfId="1" applyFont="1" applyFill="1" applyBorder="1" applyProtection="1"/>
    <xf numFmtId="164" fontId="31" fillId="24" borderId="6" xfId="1" applyFont="1" applyFill="1" applyBorder="1" applyProtection="1"/>
    <xf numFmtId="0" fontId="23" fillId="27" borderId="8" xfId="0" applyFont="1" applyFill="1" applyBorder="1" applyProtection="1"/>
    <xf numFmtId="164" fontId="23" fillId="20" borderId="8" xfId="1" applyFont="1" applyFill="1" applyBorder="1" applyProtection="1"/>
    <xf numFmtId="0" fontId="23" fillId="3" borderId="9" xfId="0" applyFont="1" applyFill="1" applyBorder="1" applyAlignment="1" applyProtection="1">
      <alignment horizontal="center"/>
    </xf>
    <xf numFmtId="0" fontId="23" fillId="20" borderId="2" xfId="0" applyFont="1" applyFill="1" applyBorder="1" applyProtection="1"/>
    <xf numFmtId="164" fontId="31" fillId="20" borderId="2" xfId="1" applyFont="1" applyFill="1" applyBorder="1" applyProtection="1"/>
    <xf numFmtId="164" fontId="31" fillId="20" borderId="10" xfId="1" applyFont="1" applyFill="1" applyBorder="1" applyProtection="1"/>
    <xf numFmtId="0" fontId="39" fillId="3" borderId="4" xfId="0" applyFont="1" applyFill="1" applyBorder="1" applyAlignment="1" applyProtection="1">
      <alignment horizontal="center"/>
    </xf>
    <xf numFmtId="0" fontId="39" fillId="18" borderId="5" xfId="0" applyFont="1" applyFill="1" applyBorder="1" applyAlignment="1" applyProtection="1">
      <alignment horizontal="left"/>
    </xf>
    <xf numFmtId="176" fontId="15" fillId="18" borderId="6" xfId="1" applyNumberFormat="1" applyFont="1" applyFill="1" applyBorder="1" applyProtection="1"/>
    <xf numFmtId="0" fontId="39" fillId="18" borderId="5" xfId="0" applyFont="1" applyFill="1" applyBorder="1" applyProtection="1"/>
    <xf numFmtId="0" fontId="39" fillId="18" borderId="5" xfId="0" applyFont="1" applyFill="1" applyBorder="1" applyAlignment="1" applyProtection="1">
      <alignment horizontal="right"/>
    </xf>
    <xf numFmtId="176" fontId="15" fillId="18" borderId="6" xfId="1" applyNumberFormat="1" applyFont="1" applyFill="1" applyBorder="1" applyAlignment="1" applyProtection="1">
      <alignment horizontal="right"/>
    </xf>
    <xf numFmtId="0" fontId="63" fillId="6" borderId="25" xfId="0" applyFont="1" applyFill="1" applyBorder="1" applyProtection="1"/>
    <xf numFmtId="0" fontId="3" fillId="27" borderId="7" xfId="0" applyFont="1" applyFill="1" applyBorder="1" applyProtection="1"/>
    <xf numFmtId="0" fontId="23" fillId="27" borderId="6" xfId="0" applyFont="1" applyFill="1" applyBorder="1" applyProtection="1"/>
    <xf numFmtId="0" fontId="23" fillId="17" borderId="9" xfId="0" applyFont="1" applyFill="1" applyBorder="1" applyAlignment="1" applyProtection="1">
      <alignment horizontal="right"/>
    </xf>
    <xf numFmtId="0" fontId="23" fillId="17" borderId="2" xfId="0" applyFont="1" applyFill="1" applyBorder="1" applyProtection="1"/>
    <xf numFmtId="0" fontId="23" fillId="17" borderId="16" xfId="0" applyFont="1" applyFill="1" applyBorder="1" applyAlignment="1" applyProtection="1">
      <alignment horizontal="right"/>
    </xf>
    <xf numFmtId="0" fontId="63" fillId="6" borderId="0" xfId="0" applyFont="1" applyFill="1" applyBorder="1" applyProtection="1"/>
    <xf numFmtId="0" fontId="14" fillId="16" borderId="14" xfId="0" applyFont="1" applyFill="1" applyBorder="1" applyAlignment="1" applyProtection="1">
      <alignment vertical="center"/>
    </xf>
    <xf numFmtId="0" fontId="63" fillId="16" borderId="15" xfId="0" applyFont="1" applyFill="1" applyBorder="1" applyProtection="1"/>
    <xf numFmtId="0" fontId="23" fillId="17" borderId="5" xfId="0" applyFont="1" applyFill="1" applyBorder="1" applyAlignment="1" applyProtection="1">
      <alignment horizontal="right"/>
    </xf>
    <xf numFmtId="0" fontId="23" fillId="17" borderId="5" xfId="0" applyFont="1" applyFill="1" applyBorder="1" applyProtection="1"/>
    <xf numFmtId="0" fontId="23" fillId="17" borderId="4" xfId="0" applyFont="1" applyFill="1" applyBorder="1" applyProtection="1"/>
    <xf numFmtId="0" fontId="23" fillId="17" borderId="18" xfId="0" applyFont="1" applyFill="1" applyBorder="1" applyAlignment="1" applyProtection="1">
      <alignment horizontal="right"/>
    </xf>
    <xf numFmtId="0" fontId="24" fillId="6" borderId="0" xfId="0" applyFont="1" applyFill="1" applyBorder="1" applyAlignment="1" applyProtection="1">
      <alignment horizontal="right"/>
    </xf>
    <xf numFmtId="0" fontId="23" fillId="21" borderId="9" xfId="0" applyFont="1" applyFill="1" applyBorder="1" applyProtection="1"/>
    <xf numFmtId="0" fontId="23" fillId="21" borderId="10" xfId="0" applyFont="1" applyFill="1" applyBorder="1" applyProtection="1"/>
    <xf numFmtId="164" fontId="23" fillId="15" borderId="14" xfId="1" applyFont="1" applyFill="1" applyBorder="1" applyProtection="1"/>
    <xf numFmtId="164" fontId="23" fillId="15" borderId="11" xfId="1" applyFont="1" applyFill="1" applyBorder="1" applyProtection="1"/>
    <xf numFmtId="164" fontId="23" fillId="15" borderId="15" xfId="1" applyFont="1" applyFill="1" applyBorder="1" applyProtection="1"/>
    <xf numFmtId="0" fontId="23" fillId="21" borderId="7" xfId="0" applyFont="1" applyFill="1" applyBorder="1" applyProtection="1"/>
    <xf numFmtId="0" fontId="23" fillId="21" borderId="0" xfId="0" applyFont="1" applyFill="1" applyBorder="1" applyAlignment="1" applyProtection="1">
      <alignment horizontal="left"/>
    </xf>
    <xf numFmtId="0" fontId="23" fillId="21" borderId="0" xfId="0" applyFont="1" applyFill="1" applyBorder="1" applyAlignment="1" applyProtection="1">
      <alignment horizontal="right"/>
    </xf>
    <xf numFmtId="0" fontId="23" fillId="21" borderId="8" xfId="0" applyFont="1" applyFill="1" applyBorder="1" applyProtection="1"/>
    <xf numFmtId="164" fontId="23" fillId="8" borderId="14" xfId="1" applyFont="1" applyFill="1" applyBorder="1" applyProtection="1"/>
    <xf numFmtId="164" fontId="23" fillId="8" borderId="11" xfId="1" applyFont="1" applyFill="1" applyBorder="1" applyProtection="1"/>
    <xf numFmtId="164" fontId="23" fillId="8" borderId="15" xfId="1" applyFont="1" applyFill="1" applyBorder="1" applyProtection="1"/>
    <xf numFmtId="0" fontId="23" fillId="25" borderId="6" xfId="0" applyFont="1" applyFill="1" applyBorder="1" applyProtection="1"/>
    <xf numFmtId="0" fontId="3" fillId="21" borderId="4" xfId="0" applyFont="1" applyFill="1" applyBorder="1" applyProtection="1"/>
    <xf numFmtId="0" fontId="43" fillId="21" borderId="5" xfId="0" applyFont="1" applyFill="1" applyBorder="1" applyProtection="1"/>
    <xf numFmtId="0" fontId="23" fillId="21" borderId="5" xfId="0" applyFont="1" applyFill="1" applyBorder="1" applyProtection="1"/>
    <xf numFmtId="0" fontId="23" fillId="21" borderId="5" xfId="0" applyFont="1" applyFill="1" applyBorder="1" applyAlignment="1" applyProtection="1">
      <alignment horizontal="right"/>
    </xf>
    <xf numFmtId="0" fontId="23" fillId="21" borderId="6" xfId="0" applyFont="1" applyFill="1" applyBorder="1" applyProtection="1"/>
    <xf numFmtId="164" fontId="23" fillId="2" borderId="14" xfId="1" applyFont="1" applyFill="1" applyBorder="1" applyProtection="1"/>
    <xf numFmtId="164" fontId="23" fillId="2" borderId="11" xfId="1" applyFont="1" applyFill="1" applyBorder="1" applyProtection="1"/>
    <xf numFmtId="164" fontId="23" fillId="2" borderId="15" xfId="1" applyFont="1" applyFill="1" applyBorder="1" applyAlignment="1" applyProtection="1">
      <alignment horizontal="left"/>
    </xf>
    <xf numFmtId="0" fontId="23" fillId="0" borderId="0" xfId="0" applyFont="1" applyAlignment="1" applyProtection="1">
      <alignment horizontal="left"/>
    </xf>
    <xf numFmtId="0" fontId="23" fillId="24" borderId="7" xfId="0" applyFont="1" applyFill="1" applyBorder="1" applyProtection="1"/>
    <xf numFmtId="0" fontId="23" fillId="24" borderId="0" xfId="0" applyFont="1" applyFill="1" applyAlignment="1" applyProtection="1">
      <alignment horizontal="right"/>
    </xf>
    <xf numFmtId="0" fontId="23" fillId="24" borderId="0" xfId="0" applyFont="1" applyFill="1" applyProtection="1"/>
    <xf numFmtId="164" fontId="23" fillId="19" borderId="14" xfId="1" applyFont="1" applyFill="1" applyBorder="1" applyProtection="1"/>
    <xf numFmtId="164" fontId="23" fillId="19" borderId="11" xfId="1" applyFont="1" applyFill="1" applyBorder="1" applyProtection="1"/>
    <xf numFmtId="164" fontId="23" fillId="19" borderId="15" xfId="1" applyFont="1" applyFill="1" applyBorder="1" applyProtection="1"/>
    <xf numFmtId="0" fontId="23" fillId="0" borderId="9" xfId="0" applyFont="1" applyBorder="1" applyAlignment="1" applyProtection="1">
      <alignment horizontal="right"/>
    </xf>
    <xf numFmtId="0" fontId="23" fillId="0" borderId="2" xfId="0" applyFont="1" applyBorder="1" applyProtection="1"/>
    <xf numFmtId="0" fontId="23" fillId="0" borderId="10" xfId="0" applyFont="1" applyBorder="1" applyAlignment="1" applyProtection="1">
      <alignment horizontal="right"/>
    </xf>
    <xf numFmtId="164" fontId="23" fillId="3" borderId="14" xfId="1" applyFont="1" applyFill="1" applyBorder="1" applyProtection="1"/>
    <xf numFmtId="164" fontId="23" fillId="3" borderId="11" xfId="1" applyFont="1" applyFill="1" applyBorder="1" applyProtection="1"/>
    <xf numFmtId="164" fontId="23" fillId="3" borderId="15" xfId="1" applyFont="1" applyFill="1" applyBorder="1" applyProtection="1"/>
    <xf numFmtId="0" fontId="24" fillId="0" borderId="8" xfId="0" applyFont="1" applyBorder="1" applyProtection="1"/>
    <xf numFmtId="0" fontId="23" fillId="0" borderId="8" xfId="0" applyFont="1" applyBorder="1" applyProtection="1"/>
    <xf numFmtId="164" fontId="31" fillId="0" borderId="0" xfId="1" applyFont="1" applyProtection="1"/>
    <xf numFmtId="0" fontId="23" fillId="20" borderId="2" xfId="0" applyFont="1" applyFill="1" applyBorder="1" applyAlignment="1" applyProtection="1">
      <alignment horizontal="left"/>
    </xf>
    <xf numFmtId="0" fontId="23" fillId="20" borderId="10" xfId="0" applyFont="1" applyFill="1" applyBorder="1" applyProtection="1"/>
    <xf numFmtId="0" fontId="31" fillId="24" borderId="0" xfId="0" applyFont="1" applyFill="1" applyProtection="1"/>
    <xf numFmtId="0" fontId="31" fillId="24" borderId="8" xfId="0" applyFont="1" applyFill="1" applyBorder="1" applyProtection="1"/>
    <xf numFmtId="0" fontId="24" fillId="6" borderId="22" xfId="0" applyFont="1" applyFill="1" applyBorder="1" applyProtection="1"/>
    <xf numFmtId="0" fontId="24" fillId="6" borderId="23" xfId="0" applyFont="1" applyFill="1" applyBorder="1" applyProtection="1"/>
    <xf numFmtId="0" fontId="24" fillId="6" borderId="23" xfId="0" applyFont="1" applyFill="1" applyBorder="1" applyAlignment="1" applyProtection="1">
      <alignment horizontal="right"/>
    </xf>
    <xf numFmtId="0" fontId="24" fillId="6" borderId="24" xfId="0" applyFont="1" applyFill="1" applyBorder="1" applyProtection="1"/>
    <xf numFmtId="0" fontId="23" fillId="0" borderId="4" xfId="0" applyFont="1" applyBorder="1" applyAlignment="1" applyProtection="1">
      <alignment horizontal="center"/>
    </xf>
    <xf numFmtId="0" fontId="23" fillId="0" borderId="6" xfId="0" applyFont="1" applyBorder="1" applyProtection="1"/>
    <xf numFmtId="0" fontId="63" fillId="16" borderId="11" xfId="0" applyFont="1" applyFill="1" applyBorder="1" applyProtection="1"/>
    <xf numFmtId="0" fontId="63" fillId="16" borderId="11" xfId="0" applyFont="1" applyFill="1" applyBorder="1" applyAlignment="1" applyProtection="1">
      <alignment horizontal="right"/>
    </xf>
    <xf numFmtId="0" fontId="63" fillId="16" borderId="11" xfId="0" applyFont="1" applyFill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/>
    </xf>
    <xf numFmtId="0" fontId="23" fillId="0" borderId="8" xfId="0" applyFont="1" applyBorder="1" applyAlignment="1" applyProtection="1">
      <alignment horizontal="right"/>
    </xf>
    <xf numFmtId="176" fontId="23" fillId="21" borderId="2" xfId="1" applyNumberFormat="1" applyFont="1" applyFill="1" applyBorder="1" applyAlignment="1" applyProtection="1"/>
    <xf numFmtId="0" fontId="0" fillId="0" borderId="10" xfId="0" applyBorder="1" applyAlignment="1" applyProtection="1"/>
    <xf numFmtId="0" fontId="23" fillId="3" borderId="7" xfId="0" applyFont="1" applyFill="1" applyBorder="1" applyAlignment="1" applyProtection="1">
      <alignment horizontal="center"/>
    </xf>
    <xf numFmtId="0" fontId="23" fillId="24" borderId="4" xfId="0" applyFont="1" applyFill="1" applyBorder="1" applyProtection="1"/>
    <xf numFmtId="0" fontId="31" fillId="24" borderId="5" xfId="0" applyFont="1" applyFill="1" applyBorder="1" applyProtection="1"/>
    <xf numFmtId="0" fontId="31" fillId="24" borderId="6" xfId="0" applyFont="1" applyFill="1" applyBorder="1" applyProtection="1"/>
    <xf numFmtId="0" fontId="31" fillId="0" borderId="0" xfId="0" applyFont="1" applyProtection="1"/>
    <xf numFmtId="176" fontId="23" fillId="21" borderId="8" xfId="1" applyNumberFormat="1" applyFont="1" applyFill="1" applyBorder="1" applyAlignment="1" applyProtection="1"/>
    <xf numFmtId="0" fontId="0" fillId="0" borderId="8" xfId="0" applyBorder="1" applyAlignment="1" applyProtection="1"/>
    <xf numFmtId="0" fontId="23" fillId="3" borderId="7" xfId="0" applyFont="1" applyFill="1" applyBorder="1" applyProtection="1"/>
    <xf numFmtId="0" fontId="31" fillId="20" borderId="0" xfId="0" applyFont="1" applyFill="1" applyProtection="1"/>
    <xf numFmtId="0" fontId="31" fillId="20" borderId="8" xfId="0" applyFont="1" applyFill="1" applyBorder="1" applyProtection="1"/>
    <xf numFmtId="176" fontId="15" fillId="18" borderId="6" xfId="1" applyNumberFormat="1" applyFont="1" applyFill="1" applyBorder="1" applyAlignment="1" applyProtection="1"/>
    <xf numFmtId="0" fontId="15" fillId="18" borderId="5" xfId="0" applyFont="1" applyFill="1" applyBorder="1" applyProtection="1"/>
    <xf numFmtId="0" fontId="31" fillId="24" borderId="0" xfId="0" applyFont="1" applyFill="1" applyBorder="1" applyProtection="1"/>
    <xf numFmtId="0" fontId="24" fillId="0" borderId="9" xfId="0" applyFont="1" applyBorder="1" applyAlignment="1" applyProtection="1">
      <alignment horizontal="right"/>
    </xf>
    <xf numFmtId="0" fontId="24" fillId="0" borderId="4" xfId="0" applyFont="1" applyBorder="1" applyAlignment="1" applyProtection="1">
      <alignment horizontal="right"/>
    </xf>
    <xf numFmtId="0" fontId="24" fillId="0" borderId="6" xfId="0" applyFont="1" applyBorder="1" applyProtection="1"/>
    <xf numFmtId="0" fontId="23" fillId="25" borderId="5" xfId="0" applyFont="1" applyFill="1" applyBorder="1" applyProtection="1"/>
    <xf numFmtId="0" fontId="3" fillId="25" borderId="6" xfId="0" applyFont="1" applyFill="1" applyBorder="1" applyProtection="1"/>
    <xf numFmtId="0" fontId="23" fillId="21" borderId="0" xfId="0" applyFont="1" applyFill="1" applyProtection="1"/>
    <xf numFmtId="176" fontId="23" fillId="21" borderId="8" xfId="1" applyNumberFormat="1" applyFont="1" applyFill="1" applyBorder="1" applyAlignment="1" applyProtection="1"/>
    <xf numFmtId="0" fontId="31" fillId="20" borderId="2" xfId="0" applyFont="1" applyFill="1" applyBorder="1" applyProtection="1"/>
    <xf numFmtId="0" fontId="15" fillId="0" borderId="0" xfId="0" applyFont="1" applyProtection="1"/>
    <xf numFmtId="0" fontId="23" fillId="20" borderId="0" xfId="0" applyFont="1" applyFill="1" applyBorder="1" applyProtection="1"/>
    <xf numFmtId="0" fontId="31" fillId="20" borderId="0" xfId="0" applyFont="1" applyFill="1" applyBorder="1" applyProtection="1"/>
    <xf numFmtId="164" fontId="31" fillId="20" borderId="0" xfId="1" applyFont="1" applyFill="1" applyBorder="1" applyProtection="1"/>
    <xf numFmtId="164" fontId="31" fillId="20" borderId="8" xfId="1" applyFont="1" applyFill="1" applyBorder="1" applyProtection="1"/>
    <xf numFmtId="0" fontId="23" fillId="25" borderId="7" xfId="0" applyFont="1" applyFill="1" applyBorder="1" applyAlignment="1" applyProtection="1">
      <alignment horizontal="center"/>
    </xf>
    <xf numFmtId="0" fontId="3" fillId="25" borderId="0" xfId="0" applyFont="1" applyFill="1" applyProtection="1"/>
    <xf numFmtId="0" fontId="23" fillId="25" borderId="0" xfId="0" applyFont="1" applyFill="1" applyAlignment="1" applyProtection="1">
      <alignment horizontal="right"/>
    </xf>
    <xf numFmtId="0" fontId="23" fillId="25" borderId="8" xfId="0" applyFont="1" applyFill="1" applyBorder="1" applyAlignment="1" applyProtection="1">
      <alignment horizontal="right"/>
    </xf>
    <xf numFmtId="176" fontId="15" fillId="18" borderId="5" xfId="1" applyNumberFormat="1" applyFont="1" applyFill="1" applyBorder="1" applyAlignment="1" applyProtection="1"/>
    <xf numFmtId="0" fontId="0" fillId="0" borderId="6" xfId="0" applyBorder="1" applyAlignment="1" applyProtection="1"/>
    <xf numFmtId="0" fontId="24" fillId="0" borderId="10" xfId="0" applyFont="1" applyBorder="1" applyAlignment="1" applyProtection="1">
      <alignment horizontal="right"/>
    </xf>
    <xf numFmtId="164" fontId="15" fillId="18" borderId="6" xfId="1" applyFont="1" applyFill="1" applyBorder="1" applyAlignment="1" applyProtection="1">
      <alignment horizontal="right"/>
    </xf>
    <xf numFmtId="0" fontId="23" fillId="0" borderId="0" xfId="0" applyFont="1" applyAlignment="1" applyProtection="1">
      <alignment horizontal="center"/>
    </xf>
    <xf numFmtId="0" fontId="39" fillId="3" borderId="16" xfId="0" applyFont="1" applyFill="1" applyBorder="1" applyAlignment="1" applyProtection="1">
      <alignment horizontal="center"/>
    </xf>
    <xf numFmtId="164" fontId="23" fillId="20" borderId="2" xfId="1" applyFont="1" applyFill="1" applyBorder="1" applyAlignment="1" applyProtection="1"/>
    <xf numFmtId="176" fontId="15" fillId="20" borderId="10" xfId="1" applyNumberFormat="1" applyFont="1" applyFill="1" applyBorder="1" applyAlignment="1" applyProtection="1"/>
    <xf numFmtId="0" fontId="39" fillId="0" borderId="0" xfId="0" applyFont="1" applyBorder="1" applyAlignment="1" applyProtection="1">
      <alignment horizontal="center" vertical="center"/>
    </xf>
    <xf numFmtId="0" fontId="39" fillId="3" borderId="12" xfId="0" applyFont="1" applyFill="1" applyBorder="1" applyAlignment="1" applyProtection="1">
      <alignment horizontal="center"/>
    </xf>
    <xf numFmtId="164" fontId="23" fillId="20" borderId="0" xfId="1" applyFont="1" applyFill="1" applyBorder="1" applyAlignment="1" applyProtection="1"/>
    <xf numFmtId="176" fontId="15" fillId="20" borderId="8" xfId="1" applyNumberFormat="1" applyFont="1" applyFill="1" applyBorder="1" applyAlignment="1" applyProtection="1"/>
    <xf numFmtId="0" fontId="23" fillId="3" borderId="9" xfId="0" applyFont="1" applyFill="1" applyBorder="1" applyAlignment="1" applyProtection="1">
      <alignment horizontal="right"/>
    </xf>
    <xf numFmtId="0" fontId="23" fillId="20" borderId="9" xfId="0" applyFont="1" applyFill="1" applyBorder="1" applyProtection="1"/>
    <xf numFmtId="0" fontId="39" fillId="18" borderId="4" xfId="0" applyFont="1" applyFill="1" applyBorder="1" applyProtection="1"/>
    <xf numFmtId="0" fontId="15" fillId="18" borderId="6" xfId="0" applyFont="1" applyFill="1" applyBorder="1" applyProtection="1"/>
    <xf numFmtId="0" fontId="39" fillId="3" borderId="18" xfId="0" applyFont="1" applyFill="1" applyBorder="1" applyAlignment="1" applyProtection="1">
      <alignment horizontal="center"/>
    </xf>
    <xf numFmtId="0" fontId="24" fillId="0" borderId="0" xfId="0" applyFont="1" applyAlignment="1" applyProtection="1">
      <alignment vertical="center"/>
    </xf>
    <xf numFmtId="0" fontId="16" fillId="3" borderId="9" xfId="0" applyFont="1" applyFill="1" applyBorder="1" applyAlignment="1" applyProtection="1">
      <alignment horizontal="center"/>
    </xf>
    <xf numFmtId="0" fontId="24" fillId="20" borderId="2" xfId="0" applyFont="1" applyFill="1" applyBorder="1" applyProtection="1"/>
    <xf numFmtId="0" fontId="28" fillId="20" borderId="2" xfId="0" applyFont="1" applyFill="1" applyBorder="1" applyProtection="1"/>
    <xf numFmtId="164" fontId="28" fillId="20" borderId="10" xfId="1" applyFont="1" applyFill="1" applyBorder="1" applyProtection="1"/>
    <xf numFmtId="0" fontId="0" fillId="0" borderId="0" xfId="0" applyAlignment="1" applyProtection="1">
      <alignment horizontal="left"/>
    </xf>
    <xf numFmtId="0" fontId="24" fillId="0" borderId="7" xfId="0" applyFont="1" applyBorder="1" applyAlignment="1" applyProtection="1">
      <alignment horizontal="right"/>
    </xf>
    <xf numFmtId="0" fontId="16" fillId="0" borderId="7" xfId="0" applyFont="1" applyBorder="1" applyAlignment="1" applyProtection="1">
      <alignment horizontal="center"/>
    </xf>
    <xf numFmtId="0" fontId="16" fillId="0" borderId="0" xfId="0" applyFont="1" applyProtection="1"/>
    <xf numFmtId="0" fontId="24" fillId="0" borderId="0" xfId="0" applyFont="1" applyAlignment="1" applyProtection="1">
      <alignment horizontal="left"/>
    </xf>
    <xf numFmtId="0" fontId="16" fillId="0" borderId="9" xfId="0" applyFont="1" applyBorder="1" applyAlignment="1" applyProtection="1">
      <alignment horizontal="center"/>
    </xf>
    <xf numFmtId="0" fontId="16" fillId="0" borderId="2" xfId="0" applyFont="1" applyBorder="1" applyProtection="1"/>
    <xf numFmtId="0" fontId="16" fillId="0" borderId="0" xfId="0" applyFont="1" applyAlignment="1" applyProtection="1">
      <alignment horizontal="center"/>
    </xf>
    <xf numFmtId="0" fontId="39" fillId="3" borderId="4" xfId="0" applyFont="1" applyFill="1" applyBorder="1" applyAlignment="1" applyProtection="1">
      <alignment horizontal="center" vertical="center"/>
    </xf>
    <xf numFmtId="0" fontId="39" fillId="18" borderId="5" xfId="0" applyFont="1" applyFill="1" applyBorder="1" applyAlignment="1" applyProtection="1">
      <alignment vertical="center"/>
    </xf>
    <xf numFmtId="176" fontId="15" fillId="18" borderId="6" xfId="1" applyNumberFormat="1" applyFont="1" applyFill="1" applyBorder="1" applyAlignment="1" applyProtection="1">
      <alignment vertical="center"/>
    </xf>
    <xf numFmtId="0" fontId="24" fillId="7" borderId="0" xfId="0" applyFont="1" applyFill="1" applyProtection="1"/>
    <xf numFmtId="0" fontId="47" fillId="7" borderId="0" xfId="7" applyFont="1" applyFill="1" applyAlignment="1" applyProtection="1">
      <alignment horizontal="left"/>
    </xf>
    <xf numFmtId="0" fontId="0" fillId="7" borderId="0" xfId="0" applyFill="1" applyAlignment="1" applyProtection="1">
      <alignment horizontal="left"/>
    </xf>
    <xf numFmtId="0" fontId="19" fillId="7" borderId="0" xfId="0" applyFont="1" applyFill="1" applyProtection="1"/>
    <xf numFmtId="0" fontId="21" fillId="7" borderId="0" xfId="0" applyFont="1" applyFill="1" applyProtection="1"/>
    <xf numFmtId="0" fontId="23" fillId="20" borderId="9" xfId="0" applyFont="1" applyFill="1" applyBorder="1" applyAlignment="1" applyProtection="1">
      <alignment vertical="center"/>
    </xf>
    <xf numFmtId="0" fontId="23" fillId="20" borderId="2" xfId="0" applyFont="1" applyFill="1" applyBorder="1" applyAlignment="1" applyProtection="1">
      <alignment horizontal="right"/>
    </xf>
    <xf numFmtId="0" fontId="15" fillId="0" borderId="0" xfId="0" applyFont="1" applyAlignment="1" applyProtection="1">
      <alignment horizontal="left" vertical="center"/>
    </xf>
    <xf numFmtId="0" fontId="31" fillId="3" borderId="7" xfId="0" applyFont="1" applyFill="1" applyBorder="1" applyAlignment="1" applyProtection="1">
      <alignment horizontal="center"/>
    </xf>
    <xf numFmtId="164" fontId="23" fillId="20" borderId="8" xfId="1" applyFont="1" applyFill="1" applyBorder="1" applyAlignment="1" applyProtection="1">
      <alignment horizontal="right"/>
    </xf>
    <xf numFmtId="0" fontId="24" fillId="6" borderId="0" xfId="0" applyFont="1" applyFill="1" applyProtection="1"/>
    <xf numFmtId="0" fontId="24" fillId="6" borderId="0" xfId="0" applyFont="1" applyFill="1" applyAlignment="1" applyProtection="1">
      <alignment horizontal="right"/>
    </xf>
    <xf numFmtId="0" fontId="31" fillId="3" borderId="9" xfId="0" applyFont="1" applyFill="1" applyBorder="1" applyAlignment="1" applyProtection="1">
      <alignment horizontal="right"/>
    </xf>
    <xf numFmtId="165" fontId="23" fillId="20" borderId="10" xfId="0" applyNumberFormat="1" applyFont="1" applyFill="1" applyBorder="1" applyProtection="1"/>
    <xf numFmtId="0" fontId="24" fillId="0" borderId="7" xfId="0" applyFont="1" applyBorder="1" applyAlignment="1" applyProtection="1">
      <alignment horizontal="left"/>
    </xf>
    <xf numFmtId="165" fontId="23" fillId="24" borderId="8" xfId="0" applyNumberFormat="1" applyFont="1" applyFill="1" applyBorder="1" applyProtection="1"/>
    <xf numFmtId="0" fontId="18" fillId="6" borderId="0" xfId="0" applyFont="1" applyFill="1" applyAlignment="1" applyProtection="1">
      <alignment horizontal="left" vertical="center"/>
    </xf>
    <xf numFmtId="0" fontId="24" fillId="0" borderId="0" xfId="0" applyFont="1" applyAlignment="1" applyProtection="1">
      <alignment vertical="top"/>
    </xf>
    <xf numFmtId="0" fontId="3" fillId="25" borderId="4" xfId="0" applyFont="1" applyFill="1" applyBorder="1" applyAlignment="1" applyProtection="1">
      <alignment horizontal="center"/>
    </xf>
    <xf numFmtId="0" fontId="54" fillId="7" borderId="0" xfId="0" applyFont="1" applyFill="1" applyProtection="1"/>
    <xf numFmtId="0" fontId="24" fillId="7" borderId="0" xfId="0" applyFont="1" applyFill="1" applyAlignment="1" applyProtection="1">
      <alignment horizontal="right"/>
    </xf>
    <xf numFmtId="0" fontId="23" fillId="20" borderId="7" xfId="0" applyFont="1" applyFill="1" applyBorder="1" applyAlignment="1" applyProtection="1">
      <alignment horizontal="left" vertical="center"/>
    </xf>
    <xf numFmtId="0" fontId="23" fillId="20" borderId="0" xfId="0" applyFont="1" applyFill="1" applyBorder="1" applyAlignment="1" applyProtection="1">
      <alignment horizontal="right"/>
    </xf>
    <xf numFmtId="0" fontId="3" fillId="20" borderId="0" xfId="0" applyFont="1" applyFill="1" applyBorder="1" applyAlignment="1" applyProtection="1">
      <alignment horizontal="left"/>
    </xf>
    <xf numFmtId="0" fontId="32" fillId="18" borderId="4" xfId="0" applyFont="1" applyFill="1" applyBorder="1" applyAlignment="1" applyProtection="1">
      <alignment horizontal="left"/>
    </xf>
    <xf numFmtId="0" fontId="26" fillId="18" borderId="5" xfId="0" applyFont="1" applyFill="1" applyBorder="1" applyProtection="1"/>
    <xf numFmtId="0" fontId="32" fillId="18" borderId="5" xfId="0" applyFont="1" applyFill="1" applyBorder="1" applyProtection="1"/>
    <xf numFmtId="176" fontId="32" fillId="18" borderId="5" xfId="1" applyNumberFormat="1" applyFont="1" applyFill="1" applyBorder="1" applyAlignment="1" applyProtection="1"/>
    <xf numFmtId="176" fontId="2" fillId="0" borderId="5" xfId="1" applyNumberFormat="1" applyFont="1" applyBorder="1" applyAlignment="1" applyProtection="1"/>
    <xf numFmtId="176" fontId="2" fillId="0" borderId="6" xfId="1" applyNumberFormat="1" applyFont="1" applyBorder="1" applyAlignment="1" applyProtection="1"/>
    <xf numFmtId="0" fontId="24" fillId="0" borderId="0" xfId="0" applyFont="1" applyAlignment="1" applyProtection="1">
      <alignment horizontal="right" vertical="top"/>
    </xf>
    <xf numFmtId="14" fontId="24" fillId="0" borderId="0" xfId="0" applyNumberFormat="1" applyFont="1" applyAlignment="1" applyProtection="1">
      <alignment horizontal="right" vertical="top"/>
    </xf>
    <xf numFmtId="0" fontId="42" fillId="0" borderId="0" xfId="0" applyFont="1" applyAlignment="1" applyProtection="1">
      <alignment horizontal="left" vertical="center"/>
    </xf>
    <xf numFmtId="0" fontId="35" fillId="0" borderId="0" xfId="0" applyFont="1" applyProtection="1"/>
    <xf numFmtId="0" fontId="35" fillId="0" borderId="0" xfId="0" applyFont="1" applyAlignment="1" applyProtection="1">
      <alignment horizontal="right"/>
    </xf>
    <xf numFmtId="0" fontId="21" fillId="0" borderId="0" xfId="0" applyFont="1" applyProtection="1"/>
    <xf numFmtId="0" fontId="21" fillId="0" borderId="0" xfId="0" applyFont="1" applyAlignment="1" applyProtection="1">
      <alignment horizontal="right"/>
    </xf>
    <xf numFmtId="0" fontId="53" fillId="0" borderId="0" xfId="0" applyFont="1" applyAlignment="1" applyProtection="1">
      <alignment horizontal="left" vertical="center"/>
    </xf>
    <xf numFmtId="0" fontId="20" fillId="0" borderId="0" xfId="0" applyFont="1" applyProtection="1"/>
    <xf numFmtId="0" fontId="34" fillId="0" borderId="0" xfId="0" applyFont="1" applyProtection="1"/>
    <xf numFmtId="164" fontId="21" fillId="0" borderId="0" xfId="0" applyNumberFormat="1" applyFont="1" applyProtection="1"/>
    <xf numFmtId="0" fontId="44" fillId="22" borderId="4" xfId="0" applyFont="1" applyFill="1" applyBorder="1" applyProtection="1"/>
    <xf numFmtId="0" fontId="35" fillId="22" borderId="5" xfId="0" applyFont="1" applyFill="1" applyBorder="1" applyProtection="1"/>
    <xf numFmtId="0" fontId="22" fillId="22" borderId="6" xfId="0" applyFont="1" applyFill="1" applyBorder="1" applyAlignment="1" applyProtection="1">
      <alignment horizontal="right" vertical="center"/>
    </xf>
    <xf numFmtId="0" fontId="32" fillId="18" borderId="2" xfId="0" applyFont="1" applyFill="1" applyBorder="1" applyProtection="1"/>
    <xf numFmtId="0" fontId="24" fillId="18" borderId="2" xfId="0" applyFont="1" applyFill="1" applyBorder="1" applyProtection="1"/>
    <xf numFmtId="0" fontId="24" fillId="18" borderId="2" xfId="0" applyFont="1" applyFill="1" applyBorder="1" applyAlignment="1" applyProtection="1">
      <alignment vertical="center"/>
    </xf>
    <xf numFmtId="0" fontId="33" fillId="18" borderId="2" xfId="0" applyFont="1" applyFill="1" applyBorder="1" applyAlignment="1" applyProtection="1">
      <alignment horizontal="right" vertical="center"/>
    </xf>
    <xf numFmtId="176" fontId="33" fillId="18" borderId="2" xfId="0" applyNumberFormat="1" applyFont="1" applyFill="1" applyBorder="1" applyAlignment="1" applyProtection="1">
      <alignment vertical="center"/>
    </xf>
    <xf numFmtId="176" fontId="20" fillId="18" borderId="2" xfId="0" applyNumberFormat="1" applyFont="1" applyFill="1" applyBorder="1" applyAlignment="1" applyProtection="1">
      <alignment vertical="center"/>
    </xf>
    <xf numFmtId="0" fontId="20" fillId="22" borderId="7" xfId="0" applyFont="1" applyFill="1" applyBorder="1" applyAlignment="1" applyProtection="1">
      <alignment horizontal="right"/>
    </xf>
    <xf numFmtId="0" fontId="35" fillId="22" borderId="0" xfId="0" applyFont="1" applyFill="1" applyProtection="1"/>
    <xf numFmtId="0" fontId="22" fillId="22" borderId="8" xfId="0" applyFont="1" applyFill="1" applyBorder="1" applyAlignment="1" applyProtection="1">
      <alignment horizontal="right" vertical="center"/>
    </xf>
    <xf numFmtId="176" fontId="35" fillId="0" borderId="0" xfId="0" applyNumberFormat="1" applyFont="1" applyProtection="1"/>
    <xf numFmtId="176" fontId="20" fillId="0" borderId="0" xfId="0" applyNumberFormat="1" applyFont="1" applyProtection="1"/>
    <xf numFmtId="0" fontId="35" fillId="0" borderId="7" xfId="0" applyFont="1" applyBorder="1" applyAlignment="1" applyProtection="1">
      <alignment horizontal="right"/>
    </xf>
    <xf numFmtId="164" fontId="35" fillId="0" borderId="0" xfId="0" applyNumberFormat="1" applyFont="1" applyProtection="1"/>
    <xf numFmtId="0" fontId="35" fillId="0" borderId="0" xfId="0" applyFont="1" applyProtection="1"/>
    <xf numFmtId="0" fontId="35" fillId="0" borderId="8" xfId="0" applyFont="1" applyBorder="1" applyProtection="1"/>
    <xf numFmtId="0" fontId="35" fillId="0" borderId="19" xfId="0" applyFont="1" applyBorder="1" applyProtection="1"/>
    <xf numFmtId="0" fontId="35" fillId="0" borderId="17" xfId="0" applyFont="1" applyBorder="1" applyProtection="1"/>
    <xf numFmtId="176" fontId="22" fillId="0" borderId="17" xfId="0" applyNumberFormat="1" applyFont="1" applyBorder="1" applyProtection="1"/>
    <xf numFmtId="176" fontId="22" fillId="0" borderId="20" xfId="0" applyNumberFormat="1" applyFont="1" applyBorder="1" applyProtection="1"/>
    <xf numFmtId="0" fontId="35" fillId="0" borderId="0" xfId="0" applyFont="1" applyFill="1" applyAlignment="1" applyProtection="1">
      <alignment horizontal="right"/>
    </xf>
    <xf numFmtId="164" fontId="35" fillId="0" borderId="0" xfId="1" applyFont="1" applyAlignment="1" applyProtection="1">
      <alignment horizontal="right"/>
    </xf>
    <xf numFmtId="0" fontId="45" fillId="0" borderId="7" xfId="0" applyFont="1" applyBorder="1" applyAlignment="1" applyProtection="1">
      <alignment horizontal="left"/>
    </xf>
    <xf numFmtId="176" fontId="46" fillId="0" borderId="0" xfId="0" applyNumberFormat="1" applyFont="1" applyProtection="1"/>
    <xf numFmtId="176" fontId="46" fillId="0" borderId="8" xfId="0" applyNumberFormat="1" applyFont="1" applyBorder="1" applyProtection="1"/>
    <xf numFmtId="0" fontId="35" fillId="22" borderId="4" xfId="0" applyFont="1" applyFill="1" applyBorder="1" applyAlignment="1" applyProtection="1">
      <alignment horizontal="left"/>
    </xf>
    <xf numFmtId="0" fontId="20" fillId="22" borderId="5" xfId="0" applyFont="1" applyFill="1" applyBorder="1" applyProtection="1"/>
    <xf numFmtId="0" fontId="33" fillId="22" borderId="5" xfId="0" applyFont="1" applyFill="1" applyBorder="1" applyAlignment="1" applyProtection="1">
      <alignment horizontal="right"/>
    </xf>
    <xf numFmtId="176" fontId="25" fillId="22" borderId="5" xfId="1" applyNumberFormat="1" applyFont="1" applyFill="1" applyBorder="1" applyAlignment="1" applyProtection="1"/>
    <xf numFmtId="176" fontId="25" fillId="22" borderId="6" xfId="1" applyNumberFormat="1" applyFont="1" applyFill="1" applyBorder="1" applyAlignment="1" applyProtection="1"/>
    <xf numFmtId="164" fontId="36" fillId="0" borderId="0" xfId="1" applyFont="1" applyAlignment="1" applyProtection="1">
      <alignment horizontal="right"/>
    </xf>
    <xf numFmtId="0" fontId="36" fillId="0" borderId="0" xfId="0" applyFont="1" applyAlignment="1" applyProtection="1">
      <alignment horizontal="right"/>
    </xf>
    <xf numFmtId="0" fontId="52" fillId="0" borderId="0" xfId="0" applyFont="1" applyAlignment="1" applyProtection="1">
      <alignment horizontal="right"/>
    </xf>
    <xf numFmtId="176" fontId="41" fillId="0" borderId="0" xfId="1" applyNumberFormat="1" applyFont="1" applyBorder="1" applyAlignment="1" applyProtection="1"/>
    <xf numFmtId="176" fontId="41" fillId="0" borderId="8" xfId="1" applyNumberFormat="1" applyFont="1" applyBorder="1" applyAlignment="1" applyProtection="1"/>
    <xf numFmtId="0" fontId="36" fillId="0" borderId="9" xfId="0" applyFont="1" applyBorder="1" applyProtection="1"/>
    <xf numFmtId="0" fontId="52" fillId="0" borderId="2" xfId="0" applyFont="1" applyBorder="1" applyProtection="1"/>
    <xf numFmtId="0" fontId="52" fillId="0" borderId="2" xfId="0" applyFont="1" applyBorder="1" applyAlignment="1" applyProtection="1">
      <alignment horizontal="right"/>
    </xf>
    <xf numFmtId="176" fontId="41" fillId="0" borderId="2" xfId="1" applyNumberFormat="1" applyFont="1" applyBorder="1" applyAlignment="1" applyProtection="1"/>
    <xf numFmtId="176" fontId="41" fillId="0" borderId="10" xfId="1" applyNumberFormat="1" applyFont="1" applyBorder="1" applyAlignment="1" applyProtection="1"/>
    <xf numFmtId="0" fontId="21" fillId="0" borderId="0" xfId="0" applyFont="1" applyAlignment="1" applyProtection="1">
      <alignment horizontal="left"/>
    </xf>
    <xf numFmtId="0" fontId="35" fillId="0" borderId="0" xfId="0" applyFont="1" applyAlignment="1" applyProtection="1">
      <alignment horizontal="left"/>
    </xf>
    <xf numFmtId="176" fontId="35" fillId="0" borderId="0" xfId="1" applyNumberFormat="1" applyFont="1" applyBorder="1" applyAlignment="1" applyProtection="1">
      <alignment horizontal="right"/>
    </xf>
    <xf numFmtId="176" fontId="0" fillId="0" borderId="0" xfId="1" applyNumberFormat="1" applyFont="1" applyBorder="1" applyAlignment="1" applyProtection="1">
      <alignment horizontal="right"/>
    </xf>
    <xf numFmtId="0" fontId="33" fillId="23" borderId="4" xfId="0" applyFont="1" applyFill="1" applyBorder="1" applyProtection="1"/>
    <xf numFmtId="0" fontId="20" fillId="23" borderId="5" xfId="0" applyFont="1" applyFill="1" applyBorder="1" applyProtection="1"/>
    <xf numFmtId="164" fontId="22" fillId="23" borderId="5" xfId="1" applyFont="1" applyFill="1" applyBorder="1" applyAlignment="1" applyProtection="1">
      <alignment horizontal="right"/>
    </xf>
    <xf numFmtId="0" fontId="0" fillId="0" borderId="5" xfId="0" applyBorder="1" applyProtection="1"/>
    <xf numFmtId="0" fontId="0" fillId="0" borderId="6" xfId="0" applyBorder="1" applyProtection="1"/>
    <xf numFmtId="0" fontId="20" fillId="23" borderId="7" xfId="0" applyFont="1" applyFill="1" applyBorder="1" applyAlignment="1" applyProtection="1">
      <alignment horizontal="right"/>
    </xf>
    <xf numFmtId="0" fontId="35" fillId="23" borderId="0" xfId="0" applyFont="1" applyFill="1" applyProtection="1"/>
    <xf numFmtId="0" fontId="22" fillId="23" borderId="0" xfId="0" applyFont="1" applyFill="1" applyProtection="1"/>
    <xf numFmtId="0" fontId="22" fillId="23" borderId="8" xfId="0" applyFont="1" applyFill="1" applyBorder="1" applyAlignment="1" applyProtection="1">
      <alignment horizontal="right"/>
    </xf>
    <xf numFmtId="0" fontId="29" fillId="0" borderId="0" xfId="0" applyFont="1" applyAlignment="1" applyProtection="1">
      <alignment horizontal="right"/>
    </xf>
    <xf numFmtId="0" fontId="24" fillId="0" borderId="21" xfId="0" applyFont="1" applyBorder="1" applyProtection="1"/>
    <xf numFmtId="164" fontId="21" fillId="0" borderId="0" xfId="1" applyFont="1" applyAlignment="1" applyProtection="1">
      <alignment horizontal="right"/>
    </xf>
    <xf numFmtId="0" fontId="35" fillId="0" borderId="7" xfId="0" applyFont="1" applyBorder="1" applyAlignment="1" applyProtection="1">
      <alignment horizontal="left"/>
    </xf>
    <xf numFmtId="176" fontId="22" fillId="0" borderId="0" xfId="1" applyNumberFormat="1" applyFont="1" applyBorder="1" applyAlignment="1" applyProtection="1"/>
    <xf numFmtId="176" fontId="22" fillId="0" borderId="8" xfId="1" applyNumberFormat="1" applyFont="1" applyBorder="1" applyAlignment="1" applyProtection="1"/>
    <xf numFmtId="0" fontId="33" fillId="0" borderId="19" xfId="0" applyFont="1" applyBorder="1" applyProtection="1"/>
    <xf numFmtId="164" fontId="22" fillId="0" borderId="17" xfId="0" applyNumberFormat="1" applyFont="1" applyBorder="1" applyProtection="1"/>
    <xf numFmtId="164" fontId="22" fillId="0" borderId="20" xfId="0" applyNumberFormat="1" applyFont="1" applyBorder="1" applyProtection="1"/>
    <xf numFmtId="176" fontId="24" fillId="0" borderId="0" xfId="0" applyNumberFormat="1" applyFont="1" applyProtection="1"/>
    <xf numFmtId="176" fontId="24" fillId="0" borderId="8" xfId="0" applyNumberFormat="1" applyFont="1" applyBorder="1" applyAlignment="1" applyProtection="1">
      <alignment horizontal="right"/>
    </xf>
    <xf numFmtId="0" fontId="20" fillId="23" borderId="4" xfId="0" applyFont="1" applyFill="1" applyBorder="1" applyAlignment="1" applyProtection="1">
      <alignment horizontal="right"/>
    </xf>
    <xf numFmtId="0" fontId="33" fillId="23" borderId="5" xfId="0" applyFont="1" applyFill="1" applyBorder="1" applyAlignment="1" applyProtection="1">
      <alignment horizontal="right"/>
    </xf>
    <xf numFmtId="176" fontId="25" fillId="23" borderId="5" xfId="1" applyNumberFormat="1" applyFont="1" applyFill="1" applyBorder="1" applyAlignment="1" applyProtection="1"/>
    <xf numFmtId="176" fontId="25" fillId="23" borderId="6" xfId="1" applyNumberFormat="1" applyFont="1" applyFill="1" applyBorder="1" applyAlignment="1" applyProtection="1"/>
    <xf numFmtId="164" fontId="24" fillId="0" borderId="0" xfId="1" applyFont="1" applyAlignment="1" applyProtection="1">
      <alignment horizontal="right"/>
    </xf>
    <xf numFmtId="0" fontId="33" fillId="4" borderId="4" xfId="0" applyFont="1" applyFill="1" applyBorder="1" applyProtection="1"/>
    <xf numFmtId="0" fontId="20" fillId="4" borderId="5" xfId="0" applyFont="1" applyFill="1" applyBorder="1" applyProtection="1"/>
    <xf numFmtId="0" fontId="35" fillId="4" borderId="5" xfId="0" applyFont="1" applyFill="1" applyBorder="1" applyProtection="1"/>
    <xf numFmtId="0" fontId="22" fillId="4" borderId="5" xfId="0" applyFont="1" applyFill="1" applyBorder="1" applyProtection="1"/>
    <xf numFmtId="0" fontId="22" fillId="4" borderId="6" xfId="0" applyFont="1" applyFill="1" applyBorder="1" applyAlignment="1" applyProtection="1">
      <alignment horizontal="right"/>
    </xf>
    <xf numFmtId="0" fontId="20" fillId="4" borderId="7" xfId="0" applyFont="1" applyFill="1" applyBorder="1" applyAlignment="1" applyProtection="1">
      <alignment horizontal="right"/>
    </xf>
    <xf numFmtId="0" fontId="35" fillId="4" borderId="0" xfId="0" applyFont="1" applyFill="1" applyProtection="1"/>
    <xf numFmtId="0" fontId="22" fillId="4" borderId="0" xfId="0" applyFont="1" applyFill="1" applyProtection="1"/>
    <xf numFmtId="0" fontId="22" fillId="4" borderId="8" xfId="0" applyFont="1" applyFill="1" applyBorder="1" applyAlignment="1" applyProtection="1">
      <alignment horizontal="right"/>
    </xf>
    <xf numFmtId="176" fontId="22" fillId="0" borderId="21" xfId="0" applyNumberFormat="1" applyFont="1" applyBorder="1" applyProtection="1"/>
    <xf numFmtId="176" fontId="22" fillId="0" borderId="31" xfId="0" applyNumberFormat="1" applyFont="1" applyBorder="1" applyProtection="1"/>
    <xf numFmtId="0" fontId="20" fillId="0" borderId="7" xfId="0" applyFont="1" applyBorder="1" applyAlignment="1" applyProtection="1">
      <alignment horizontal="right"/>
    </xf>
    <xf numFmtId="176" fontId="27" fillId="0" borderId="0" xfId="0" applyNumberFormat="1" applyFont="1" applyProtection="1"/>
    <xf numFmtId="176" fontId="27" fillId="0" borderId="8" xfId="0" applyNumberFormat="1" applyFont="1" applyBorder="1" applyAlignment="1" applyProtection="1">
      <alignment horizontal="right"/>
    </xf>
    <xf numFmtId="0" fontId="17" fillId="0" borderId="0" xfId="0" applyFont="1" applyProtection="1"/>
    <xf numFmtId="0" fontId="20" fillId="4" borderId="4" xfId="0" applyFont="1" applyFill="1" applyBorder="1" applyAlignment="1" applyProtection="1">
      <alignment horizontal="right"/>
    </xf>
    <xf numFmtId="0" fontId="33" fillId="4" borderId="5" xfId="0" applyFont="1" applyFill="1" applyBorder="1" applyAlignment="1" applyProtection="1">
      <alignment horizontal="right"/>
    </xf>
    <xf numFmtId="176" fontId="25" fillId="4" borderId="5" xfId="1" applyNumberFormat="1" applyFont="1" applyFill="1" applyBorder="1" applyAlignment="1" applyProtection="1"/>
    <xf numFmtId="176" fontId="25" fillId="4" borderId="6" xfId="1" applyNumberFormat="1" applyFont="1" applyFill="1" applyBorder="1" applyAlignment="1" applyProtection="1"/>
    <xf numFmtId="14" fontId="24" fillId="0" borderId="0" xfId="0" applyNumberFormat="1" applyFont="1" applyAlignment="1" applyProtection="1">
      <alignment horizontal="right"/>
    </xf>
    <xf numFmtId="14" fontId="0" fillId="0" borderId="0" xfId="0" applyNumberFormat="1" applyAlignment="1" applyProtection="1"/>
    <xf numFmtId="0" fontId="0" fillId="0" borderId="0" xfId="0" applyAlignment="1" applyProtection="1"/>
    <xf numFmtId="0" fontId="24" fillId="0" borderId="0" xfId="0" applyFont="1" applyAlignment="1" applyProtection="1">
      <alignment horizontal="left"/>
    </xf>
    <xf numFmtId="0" fontId="24" fillId="0" borderId="0" xfId="0" applyFont="1" applyProtection="1"/>
    <xf numFmtId="0" fontId="23" fillId="0" borderId="4" xfId="0" applyFont="1" applyBorder="1" applyProtection="1"/>
    <xf numFmtId="0" fontId="23" fillId="0" borderId="5" xfId="0" applyFont="1" applyBorder="1" applyAlignment="1" applyProtection="1">
      <alignment horizontal="center"/>
    </xf>
    <xf numFmtId="0" fontId="24" fillId="0" borderId="5" xfId="0" applyFont="1" applyBorder="1" applyAlignment="1" applyProtection="1">
      <alignment horizontal="center"/>
    </xf>
    <xf numFmtId="0" fontId="24" fillId="0" borderId="4" xfId="0" applyFont="1" applyBorder="1" applyProtection="1"/>
    <xf numFmtId="49" fontId="24" fillId="0" borderId="0" xfId="0" applyNumberFormat="1" applyFont="1" applyProtection="1"/>
    <xf numFmtId="0" fontId="15" fillId="0" borderId="0" xfId="0" applyFont="1" applyAlignment="1" applyProtection="1">
      <alignment horizontal="right"/>
    </xf>
    <xf numFmtId="0" fontId="39" fillId="0" borderId="0" xfId="0" applyFont="1" applyAlignment="1" applyProtection="1">
      <alignment horizontal="right"/>
    </xf>
    <xf numFmtId="0" fontId="39" fillId="0" borderId="0" xfId="0" applyFont="1" applyBorder="1" applyAlignment="1" applyProtection="1">
      <alignment horizontal="right"/>
    </xf>
    <xf numFmtId="0" fontId="39" fillId="0" borderId="0" xfId="0" applyFont="1" applyBorder="1" applyAlignment="1" applyProtection="1">
      <alignment horizontal="center"/>
    </xf>
    <xf numFmtId="176" fontId="39" fillId="0" borderId="0" xfId="0" applyNumberFormat="1" applyFont="1" applyBorder="1" applyAlignment="1" applyProtection="1">
      <alignment horizontal="center"/>
    </xf>
    <xf numFmtId="0" fontId="39" fillId="0" borderId="0" xfId="0" applyFont="1" applyBorder="1" applyAlignment="1" applyProtection="1">
      <alignment horizontal="center"/>
    </xf>
    <xf numFmtId="0" fontId="67" fillId="0" borderId="7" xfId="0" applyFont="1" applyBorder="1" applyAlignment="1" applyProtection="1"/>
    <xf numFmtId="0" fontId="67" fillId="0" borderId="0" xfId="0" applyFont="1" applyBorder="1" applyAlignment="1" applyProtection="1"/>
    <xf numFmtId="49" fontId="67" fillId="0" borderId="0" xfId="0" applyNumberFormat="1" applyFont="1" applyBorder="1" applyProtection="1"/>
    <xf numFmtId="0" fontId="27" fillId="0" borderId="0" xfId="0" applyFont="1" applyProtection="1"/>
    <xf numFmtId="0" fontId="27" fillId="0" borderId="0" xfId="0" applyFont="1" applyAlignment="1" applyProtection="1">
      <alignment horizontal="right"/>
    </xf>
    <xf numFmtId="0" fontId="27" fillId="0" borderId="14" xfId="0" applyFont="1" applyBorder="1" applyProtection="1"/>
    <xf numFmtId="0" fontId="27" fillId="0" borderId="11" xfId="0" applyFont="1" applyBorder="1" applyProtection="1"/>
    <xf numFmtId="0" fontId="27" fillId="0" borderId="1" xfId="0" applyFont="1" applyBorder="1" applyAlignment="1" applyProtection="1">
      <alignment horizontal="right"/>
    </xf>
    <xf numFmtId="176" fontId="27" fillId="0" borderId="1" xfId="1" applyNumberFormat="1" applyFont="1" applyBorder="1" applyProtection="1"/>
    <xf numFmtId="0" fontId="27" fillId="0" borderId="7" xfId="0" applyFont="1" applyBorder="1" applyProtection="1"/>
    <xf numFmtId="0" fontId="27" fillId="0" borderId="0" xfId="0" applyFont="1" applyBorder="1" applyProtection="1"/>
    <xf numFmtId="176" fontId="27" fillId="0" borderId="0" xfId="0" applyNumberFormat="1" applyFont="1" applyBorder="1" applyAlignment="1" applyProtection="1">
      <alignment horizontal="center"/>
    </xf>
    <xf numFmtId="176" fontId="27" fillId="0" borderId="0" xfId="0" applyNumberFormat="1" applyFont="1" applyBorder="1" applyAlignment="1" applyProtection="1">
      <alignment horizontal="center"/>
    </xf>
    <xf numFmtId="0" fontId="27" fillId="0" borderId="8" xfId="0" applyFont="1" applyBorder="1" applyProtection="1"/>
    <xf numFmtId="0" fontId="67" fillId="0" borderId="0" xfId="0" applyFont="1" applyBorder="1" applyProtection="1"/>
    <xf numFmtId="0" fontId="27" fillId="0" borderId="8" xfId="0" applyFont="1" applyBorder="1" applyAlignment="1" applyProtection="1"/>
    <xf numFmtId="49" fontId="27" fillId="0" borderId="0" xfId="0" applyNumberFormat="1" applyFont="1" applyProtection="1"/>
    <xf numFmtId="0" fontId="15" fillId="0" borderId="9" xfId="0" applyFont="1" applyBorder="1" applyProtection="1"/>
    <xf numFmtId="0" fontId="15" fillId="0" borderId="2" xfId="0" applyFont="1" applyBorder="1" applyProtection="1"/>
    <xf numFmtId="0" fontId="15" fillId="0" borderId="16" xfId="0" applyFont="1" applyBorder="1" applyAlignment="1" applyProtection="1">
      <alignment horizontal="right"/>
    </xf>
    <xf numFmtId="164" fontId="15" fillId="0" borderId="1" xfId="1" applyFont="1" applyBorder="1" applyProtection="1"/>
    <xf numFmtId="0" fontId="23" fillId="0" borderId="9" xfId="0" applyFont="1" applyBorder="1" applyProtection="1"/>
    <xf numFmtId="0" fontId="68" fillId="0" borderId="2" xfId="0" applyFont="1" applyBorder="1" applyAlignment="1" applyProtection="1">
      <alignment horizontal="right"/>
    </xf>
    <xf numFmtId="0" fontId="68" fillId="0" borderId="2" xfId="0" applyFont="1" applyBorder="1" applyAlignment="1" applyProtection="1"/>
    <xf numFmtId="0" fontId="24" fillId="0" borderId="0" xfId="0" applyFont="1" applyAlignment="1" applyProtection="1"/>
    <xf numFmtId="164" fontId="21" fillId="0" borderId="0" xfId="1" applyFont="1" applyAlignment="1" applyProtection="1"/>
    <xf numFmtId="0" fontId="30" fillId="0" borderId="0" xfId="0" applyFont="1" applyProtection="1"/>
    <xf numFmtId="164" fontId="24" fillId="0" borderId="0" xfId="0" applyNumberFormat="1" applyFont="1" applyProtection="1"/>
    <xf numFmtId="0" fontId="16" fillId="0" borderId="0" xfId="0" applyFont="1" applyAlignment="1" applyProtection="1">
      <alignment horizontal="left"/>
    </xf>
    <xf numFmtId="0" fontId="16" fillId="0" borderId="0" xfId="0" applyFont="1" applyAlignment="1" applyProtection="1">
      <alignment horizontal="right"/>
    </xf>
    <xf numFmtId="176" fontId="16" fillId="0" borderId="0" xfId="0" applyNumberFormat="1" applyFont="1" applyAlignment="1" applyProtection="1">
      <alignment horizontal="right"/>
    </xf>
    <xf numFmtId="0" fontId="2" fillId="0" borderId="0" xfId="0" applyFont="1" applyAlignment="1" applyProtection="1">
      <alignment horizontal="right"/>
    </xf>
    <xf numFmtId="0" fontId="24" fillId="0" borderId="18" xfId="0" applyFont="1" applyBorder="1" applyAlignment="1" applyProtection="1">
      <alignment horizontal="center" vertical="center"/>
    </xf>
    <xf numFmtId="0" fontId="24" fillId="0" borderId="4" xfId="0" applyFont="1" applyBorder="1" applyAlignment="1" applyProtection="1">
      <alignment horizontal="left" vertical="center"/>
    </xf>
    <xf numFmtId="0" fontId="24" fillId="0" borderId="5" xfId="0" applyFont="1" applyBorder="1" applyAlignment="1" applyProtection="1">
      <alignment horizontal="left" vertical="center"/>
    </xf>
    <xf numFmtId="164" fontId="24" fillId="0" borderId="18" xfId="1" applyFont="1" applyBorder="1" applyAlignment="1" applyProtection="1">
      <alignment horizontal="left" vertical="center"/>
    </xf>
    <xf numFmtId="0" fontId="24" fillId="0" borderId="0" xfId="1" applyNumberFormat="1" applyFont="1" applyProtection="1"/>
    <xf numFmtId="176" fontId="24" fillId="0" borderId="0" xfId="0" applyNumberFormat="1" applyFont="1" applyAlignment="1" applyProtection="1"/>
    <xf numFmtId="0" fontId="0" fillId="0" borderId="0" xfId="0" applyAlignment="1" applyProtection="1"/>
    <xf numFmtId="176" fontId="24" fillId="0" borderId="0" xfId="0" applyNumberFormat="1" applyFont="1" applyAlignment="1" applyProtection="1">
      <alignment horizontal="left"/>
    </xf>
    <xf numFmtId="0" fontId="24" fillId="0" borderId="1" xfId="0" applyFont="1" applyBorder="1" applyAlignment="1" applyProtection="1">
      <alignment horizontal="left" vertical="center"/>
    </xf>
    <xf numFmtId="0" fontId="24" fillId="0" borderId="14" xfId="0" applyFont="1" applyBorder="1" applyAlignment="1" applyProtection="1">
      <alignment horizontal="left" vertical="center"/>
    </xf>
    <xf numFmtId="0" fontId="24" fillId="0" borderId="11" xfId="0" applyFont="1" applyBorder="1" applyAlignment="1" applyProtection="1">
      <alignment horizontal="left" vertical="center"/>
    </xf>
    <xf numFmtId="0" fontId="24" fillId="0" borderId="11" xfId="0" applyFont="1" applyBorder="1" applyProtection="1"/>
    <xf numFmtId="0" fontId="24" fillId="0" borderId="15" xfId="0" applyFont="1" applyBorder="1" applyProtection="1"/>
    <xf numFmtId="0" fontId="24" fillId="0" borderId="12" xfId="0" applyFont="1" applyBorder="1" applyAlignment="1" applyProtection="1">
      <alignment horizontal="center" vertical="center"/>
    </xf>
    <xf numFmtId="0" fontId="24" fillId="0" borderId="7" xfId="0" applyFont="1" applyBorder="1" applyAlignment="1" applyProtection="1">
      <alignment horizontal="left" vertical="center"/>
    </xf>
    <xf numFmtId="0" fontId="24" fillId="0" borderId="0" xfId="0" applyFont="1" applyAlignment="1" applyProtection="1">
      <alignment horizontal="left" vertical="center"/>
    </xf>
    <xf numFmtId="164" fontId="24" fillId="0" borderId="12" xfId="1" applyFont="1" applyBorder="1" applyAlignment="1" applyProtection="1">
      <alignment horizontal="left" vertical="center"/>
    </xf>
    <xf numFmtId="0" fontId="24" fillId="0" borderId="2" xfId="0" applyFont="1" applyBorder="1" applyAlignment="1" applyProtection="1">
      <alignment horizontal="left" vertical="center"/>
    </xf>
    <xf numFmtId="164" fontId="24" fillId="0" borderId="1" xfId="1" applyFont="1" applyBorder="1" applyAlignment="1" applyProtection="1">
      <alignment horizontal="left" vertical="center"/>
    </xf>
    <xf numFmtId="0" fontId="24" fillId="0" borderId="16" xfId="0" applyFont="1" applyBorder="1" applyAlignment="1" applyProtection="1">
      <alignment horizontal="left" vertical="center"/>
    </xf>
    <xf numFmtId="164" fontId="24" fillId="0" borderId="8" xfId="1" applyFont="1" applyBorder="1" applyAlignment="1" applyProtection="1">
      <alignment horizontal="left" vertical="center"/>
    </xf>
    <xf numFmtId="0" fontId="24" fillId="0" borderId="16" xfId="0" applyFont="1" applyBorder="1" applyAlignment="1" applyProtection="1">
      <alignment horizontal="center" vertical="center"/>
    </xf>
    <xf numFmtId="0" fontId="24" fillId="0" borderId="9" xfId="0" applyFont="1" applyBorder="1" applyAlignment="1" applyProtection="1">
      <alignment horizontal="left" vertical="center"/>
    </xf>
    <xf numFmtId="164" fontId="24" fillId="0" borderId="10" xfId="1" applyFont="1" applyBorder="1" applyAlignment="1" applyProtection="1">
      <alignment horizontal="left" vertical="center"/>
    </xf>
    <xf numFmtId="0" fontId="16" fillId="0" borderId="3" xfId="0" applyFont="1" applyBorder="1" applyAlignment="1" applyProtection="1">
      <alignment horizontal="right"/>
    </xf>
    <xf numFmtId="164" fontId="16" fillId="0" borderId="3" xfId="1" applyFont="1" applyBorder="1" applyProtection="1"/>
    <xf numFmtId="176" fontId="16" fillId="0" borderId="0" xfId="0" applyNumberFormat="1" applyFont="1" applyAlignment="1" applyProtection="1"/>
    <xf numFmtId="0" fontId="2" fillId="0" borderId="0" xfId="0" applyFont="1" applyAlignment="1" applyProtection="1"/>
  </cellXfs>
  <cellStyles count="44">
    <cellStyle name="20 % - Akzent1" xfId="24" builtinId="30" customBuiltin="1"/>
    <cellStyle name="20 % - Akzent2" xfId="27" builtinId="34" customBuiltin="1"/>
    <cellStyle name="20 % - Akzent3" xfId="30" builtinId="38" customBuiltin="1"/>
    <cellStyle name="20 % - Akzent4" xfId="6" builtinId="42" customBuiltin="1"/>
    <cellStyle name="20 % - Akzent5" xfId="37" builtinId="46" customBuiltin="1"/>
    <cellStyle name="20 % - Akzent6" xfId="41" builtinId="50" customBuiltin="1"/>
    <cellStyle name="40 % - Akzent1" xfId="25" builtinId="31" customBuiltin="1"/>
    <cellStyle name="40 % - Akzent2" xfId="28" builtinId="35" customBuiltin="1"/>
    <cellStyle name="40 % - Akzent3" xfId="31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6" builtinId="32" customBuiltin="1"/>
    <cellStyle name="60 % - Akzent2" xfId="29" builtinId="36" customBuiltin="1"/>
    <cellStyle name="60 % - Akzent3" xfId="32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10" builtinId="29" customBuiltin="1"/>
    <cellStyle name="Akzent2" xfId="8" builtinId="33" customBuiltin="1"/>
    <cellStyle name="Akzent3" xfId="5" builtinId="37" customBuiltin="1"/>
    <cellStyle name="Akzent4" xfId="33" builtinId="41" customBuiltin="1"/>
    <cellStyle name="Akzent5" xfId="36" builtinId="45" customBuiltin="1"/>
    <cellStyle name="Akzent6" xfId="40" builtinId="49" customBuiltin="1"/>
    <cellStyle name="Ausgabe" xfId="16" builtinId="21" customBuiltin="1"/>
    <cellStyle name="Berechnung" xfId="17" builtinId="22" customBuiltin="1"/>
    <cellStyle name="Eingabe" xfId="9" builtinId="20" customBuiltin="1"/>
    <cellStyle name="Ergebnis" xfId="23" builtinId="25" customBuiltin="1"/>
    <cellStyle name="Erklärender Text" xfId="22" builtinId="53" customBuiltin="1"/>
    <cellStyle name="Gut" xfId="2" builtinId="26" customBuiltin="1"/>
    <cellStyle name="Link" xfId="7" builtinId="8"/>
    <cellStyle name="Neutral" xfId="3" builtinId="28" customBuiltin="1"/>
    <cellStyle name="Notiz" xfId="21" builtinId="10" customBuiltin="1"/>
    <cellStyle name="Schlecht" xfId="4" builtinId="27" customBuiltin="1"/>
    <cellStyle name="Standard" xfId="0" builtinId="0"/>
    <cellStyle name="Überschrift" xfId="11" builtinId="15" customBuiltin="1"/>
    <cellStyle name="Überschrift 1" xfId="12" builtinId="16" customBuiltin="1"/>
    <cellStyle name="Überschrift 2" xfId="13" builtinId="17" customBuiltin="1"/>
    <cellStyle name="Überschrift 3" xfId="14" builtinId="18" customBuiltin="1"/>
    <cellStyle name="Überschrift 4" xfId="15" builtinId="19" customBuiltin="1"/>
    <cellStyle name="Verknüpfte Zelle" xfId="18" builtinId="24" customBuiltin="1"/>
    <cellStyle name="Währung" xfId="1" builtinId="4"/>
    <cellStyle name="Warnender Text" xfId="20" builtinId="11" customBuiltin="1"/>
    <cellStyle name="Zelle überprüfen" xfId="19" builtinId="23" customBuiltin="1"/>
  </cellStyles>
  <dxfs count="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8CE68C"/>
      <color rgb="FF99FF33"/>
      <color rgb="FF33CC33"/>
      <color rgb="FFFFFF99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493061</xdr:colOff>
      <xdr:row>108</xdr:row>
      <xdr:rowOff>68301</xdr:rowOff>
    </xdr:from>
    <xdr:to>
      <xdr:col>31</xdr:col>
      <xdr:colOff>24814</xdr:colOff>
      <xdr:row>129</xdr:row>
      <xdr:rowOff>50084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33556"/>
        <a:stretch/>
      </xdr:blipFill>
      <xdr:spPr>
        <a:xfrm>
          <a:off x="7810502" y="29113948"/>
          <a:ext cx="11205881" cy="6145018"/>
        </a:xfrm>
        <a:prstGeom prst="rect">
          <a:avLst/>
        </a:prstGeom>
      </xdr:spPr>
    </xdr:pic>
    <xdr:clientData/>
  </xdr:twoCellAnchor>
  <xdr:twoCellAnchor>
    <xdr:from>
      <xdr:col>17</xdr:col>
      <xdr:colOff>343380</xdr:colOff>
      <xdr:row>23</xdr:row>
      <xdr:rowOff>100853</xdr:rowOff>
    </xdr:from>
    <xdr:to>
      <xdr:col>17</xdr:col>
      <xdr:colOff>343380</xdr:colOff>
      <xdr:row>30</xdr:row>
      <xdr:rowOff>11206</xdr:rowOff>
    </xdr:to>
    <xdr:cxnSp macro="">
      <xdr:nvCxnSpPr>
        <xdr:cNvPr id="30" name="Gerade Verbindung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CxnSpPr/>
      </xdr:nvCxnSpPr>
      <xdr:spPr>
        <a:xfrm>
          <a:off x="10113309" y="5951924"/>
          <a:ext cx="0" cy="1515996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593912</xdr:colOff>
      <xdr:row>16</xdr:row>
      <xdr:rowOff>88428</xdr:rowOff>
    </xdr:from>
    <xdr:to>
      <xdr:col>16</xdr:col>
      <xdr:colOff>0</xdr:colOff>
      <xdr:row>16</xdr:row>
      <xdr:rowOff>101186</xdr:rowOff>
    </xdr:to>
    <xdr:cxnSp macro="">
      <xdr:nvCxnSpPr>
        <xdr:cNvPr id="32" name="Gerade Verbindung 3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CxnSpPr/>
      </xdr:nvCxnSpPr>
      <xdr:spPr>
        <a:xfrm>
          <a:off x="5647765" y="4167369"/>
          <a:ext cx="3753970" cy="12758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526676</xdr:colOff>
      <xdr:row>7</xdr:row>
      <xdr:rowOff>246531</xdr:rowOff>
    </xdr:from>
    <xdr:to>
      <xdr:col>30</xdr:col>
      <xdr:colOff>11206</xdr:colOff>
      <xdr:row>7</xdr:row>
      <xdr:rowOff>257873</xdr:rowOff>
    </xdr:to>
    <xdr:cxnSp macro="">
      <xdr:nvCxnSpPr>
        <xdr:cNvPr id="34" name="Gerade Verbindung 33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CxnSpPr/>
      </xdr:nvCxnSpPr>
      <xdr:spPr>
        <a:xfrm>
          <a:off x="12360088" y="1938619"/>
          <a:ext cx="5546912" cy="11342"/>
        </a:xfrm>
        <a:prstGeom prst="line">
          <a:avLst/>
        </a:prstGeom>
        <a:ln w="44450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36</xdr:col>
      <xdr:colOff>8805</xdr:colOff>
      <xdr:row>29</xdr:row>
      <xdr:rowOff>572</xdr:rowOff>
    </xdr:from>
    <xdr:to>
      <xdr:col>37</xdr:col>
      <xdr:colOff>532086</xdr:colOff>
      <xdr:row>29</xdr:row>
      <xdr:rowOff>1429</xdr:rowOff>
    </xdr:to>
    <xdr:cxnSp macro="">
      <xdr:nvCxnSpPr>
        <xdr:cNvPr id="35" name="Gerade Verbindung 34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CxnSpPr/>
      </xdr:nvCxnSpPr>
      <xdr:spPr>
        <a:xfrm flipV="1">
          <a:off x="22139935" y="7131898"/>
          <a:ext cx="904281" cy="857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974390</xdr:colOff>
      <xdr:row>28</xdr:row>
      <xdr:rowOff>182218</xdr:rowOff>
    </xdr:from>
    <xdr:to>
      <xdr:col>24</xdr:col>
      <xdr:colOff>974801</xdr:colOff>
      <xdr:row>37</xdr:row>
      <xdr:rowOff>230853</xdr:rowOff>
    </xdr:to>
    <xdr:cxnSp macro="">
      <xdr:nvCxnSpPr>
        <xdr:cNvPr id="40" name="Gerade Verbindung 39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CxnSpPr/>
      </xdr:nvCxnSpPr>
      <xdr:spPr>
        <a:xfrm>
          <a:off x="16309640" y="7149075"/>
          <a:ext cx="411" cy="2171349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611215</xdr:colOff>
      <xdr:row>16</xdr:row>
      <xdr:rowOff>67235</xdr:rowOff>
    </xdr:from>
    <xdr:to>
      <xdr:col>8</xdr:col>
      <xdr:colOff>611215</xdr:colOff>
      <xdr:row>21</xdr:row>
      <xdr:rowOff>212912</xdr:rowOff>
    </xdr:to>
    <xdr:cxnSp macro="">
      <xdr:nvCxnSpPr>
        <xdr:cNvPr id="22" name="Gerade Verbindung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CxnSpPr/>
      </xdr:nvCxnSpPr>
      <xdr:spPr>
        <a:xfrm>
          <a:off x="5665068" y="4146176"/>
          <a:ext cx="0" cy="1266265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705971</xdr:colOff>
      <xdr:row>23</xdr:row>
      <xdr:rowOff>112059</xdr:rowOff>
    </xdr:from>
    <xdr:to>
      <xdr:col>5</xdr:col>
      <xdr:colOff>715526</xdr:colOff>
      <xdr:row>30</xdr:row>
      <xdr:rowOff>0</xdr:rowOff>
    </xdr:to>
    <xdr:cxnSp macro="">
      <xdr:nvCxnSpPr>
        <xdr:cNvPr id="23" name="Gerade Verbindung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CxnSpPr/>
      </xdr:nvCxnSpPr>
      <xdr:spPr>
        <a:xfrm>
          <a:off x="3328147" y="5098677"/>
          <a:ext cx="9555" cy="1490382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518847</xdr:colOff>
      <xdr:row>29</xdr:row>
      <xdr:rowOff>8283</xdr:rowOff>
    </xdr:from>
    <xdr:to>
      <xdr:col>37</xdr:col>
      <xdr:colOff>532327</xdr:colOff>
      <xdr:row>38</xdr:row>
      <xdr:rowOff>0</xdr:rowOff>
    </xdr:to>
    <xdr:cxnSp macro="">
      <xdr:nvCxnSpPr>
        <xdr:cNvPr id="36" name="Gerade Verbindung 35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CxnSpPr/>
      </xdr:nvCxnSpPr>
      <xdr:spPr>
        <a:xfrm>
          <a:off x="23038668" y="7220069"/>
          <a:ext cx="13480" cy="2114431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33616</xdr:colOff>
      <xdr:row>52</xdr:row>
      <xdr:rowOff>67235</xdr:rowOff>
    </xdr:from>
    <xdr:to>
      <xdr:col>37</xdr:col>
      <xdr:colOff>571497</xdr:colOff>
      <xdr:row>52</xdr:row>
      <xdr:rowOff>89647</xdr:rowOff>
    </xdr:to>
    <xdr:cxnSp macro="">
      <xdr:nvCxnSpPr>
        <xdr:cNvPr id="47" name="Gerade Verbindung 46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CxnSpPr/>
      </xdr:nvCxnSpPr>
      <xdr:spPr>
        <a:xfrm>
          <a:off x="15733057" y="12651441"/>
          <a:ext cx="6745940" cy="22412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1256827</xdr:colOff>
      <xdr:row>57</xdr:row>
      <xdr:rowOff>32108</xdr:rowOff>
    </xdr:from>
    <xdr:to>
      <xdr:col>3</xdr:col>
      <xdr:colOff>1334820</xdr:colOff>
      <xdr:row>58</xdr:row>
      <xdr:rowOff>128367</xdr:rowOff>
    </xdr:to>
    <xdr:cxnSp macro="">
      <xdr:nvCxnSpPr>
        <xdr:cNvPr id="69" name="Gewinkelte Verbindung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CxnSpPr/>
      </xdr:nvCxnSpPr>
      <xdr:spPr>
        <a:xfrm rot="16200000" flipH="1">
          <a:off x="1857294" y="12356333"/>
          <a:ext cx="342444" cy="77993"/>
        </a:xfrm>
        <a:prstGeom prst="bentConnector3">
          <a:avLst>
            <a:gd name="adj1" fmla="val 100801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1084385</xdr:colOff>
      <xdr:row>56</xdr:row>
      <xdr:rowOff>228599</xdr:rowOff>
    </xdr:from>
    <xdr:to>
      <xdr:col>3</xdr:col>
      <xdr:colOff>1318846</xdr:colOff>
      <xdr:row>59</xdr:row>
      <xdr:rowOff>123091</xdr:rowOff>
    </xdr:to>
    <xdr:cxnSp macro="">
      <xdr:nvCxnSpPr>
        <xdr:cNvPr id="71" name="Gewinkelte Verbindung 70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CxnSpPr/>
      </xdr:nvCxnSpPr>
      <xdr:spPr>
        <a:xfrm rot="16200000" flipH="1">
          <a:off x="1635369" y="12373707"/>
          <a:ext cx="597877" cy="234461"/>
        </a:xfrm>
        <a:prstGeom prst="bentConnector3">
          <a:avLst>
            <a:gd name="adj1" fmla="val 100980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920264</xdr:colOff>
      <xdr:row>57</xdr:row>
      <xdr:rowOff>17583</xdr:rowOff>
    </xdr:from>
    <xdr:to>
      <xdr:col>3</xdr:col>
      <xdr:colOff>1354020</xdr:colOff>
      <xdr:row>60</xdr:row>
      <xdr:rowOff>134817</xdr:rowOff>
    </xdr:to>
    <xdr:cxnSp macro="">
      <xdr:nvCxnSpPr>
        <xdr:cNvPr id="74" name="Gewinkelte Verbindung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CxnSpPr/>
      </xdr:nvCxnSpPr>
      <xdr:spPr>
        <a:xfrm rot="16200000" flipH="1">
          <a:off x="1462455" y="12400084"/>
          <a:ext cx="814757" cy="433756"/>
        </a:xfrm>
        <a:prstGeom prst="bentConnector3">
          <a:avLst>
            <a:gd name="adj1" fmla="val 101079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685802</xdr:colOff>
      <xdr:row>57</xdr:row>
      <xdr:rowOff>11726</xdr:rowOff>
    </xdr:from>
    <xdr:to>
      <xdr:col>3</xdr:col>
      <xdr:colOff>1348155</xdr:colOff>
      <xdr:row>61</xdr:row>
      <xdr:rowOff>134818</xdr:rowOff>
    </xdr:to>
    <xdr:cxnSp macro="">
      <xdr:nvCxnSpPr>
        <xdr:cNvPr id="75" name="Gewinkelte Verbindung 74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CxnSpPr/>
      </xdr:nvCxnSpPr>
      <xdr:spPr>
        <a:xfrm rot="16200000" flipH="1">
          <a:off x="1227994" y="12394226"/>
          <a:ext cx="1043354" cy="662353"/>
        </a:xfrm>
        <a:prstGeom prst="bentConnector3">
          <a:avLst>
            <a:gd name="adj1" fmla="val 98876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521679</xdr:colOff>
      <xdr:row>57</xdr:row>
      <xdr:rowOff>29311</xdr:rowOff>
    </xdr:from>
    <xdr:to>
      <xdr:col>3</xdr:col>
      <xdr:colOff>1365742</xdr:colOff>
      <xdr:row>62</xdr:row>
      <xdr:rowOff>140679</xdr:rowOff>
    </xdr:to>
    <xdr:cxnSp macro="">
      <xdr:nvCxnSpPr>
        <xdr:cNvPr id="76" name="Gewinkelte Verbindung 75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CxnSpPr/>
      </xdr:nvCxnSpPr>
      <xdr:spPr>
        <a:xfrm rot="16200000" flipH="1">
          <a:off x="1049219" y="12426463"/>
          <a:ext cx="1254368" cy="844063"/>
        </a:xfrm>
        <a:prstGeom prst="bentConnector3">
          <a:avLst>
            <a:gd name="adj1" fmla="val 100935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369280</xdr:colOff>
      <xdr:row>57</xdr:row>
      <xdr:rowOff>46894</xdr:rowOff>
    </xdr:from>
    <xdr:to>
      <xdr:col>3</xdr:col>
      <xdr:colOff>1354019</xdr:colOff>
      <xdr:row>63</xdr:row>
      <xdr:rowOff>117227</xdr:rowOff>
    </xdr:to>
    <xdr:cxnSp macro="">
      <xdr:nvCxnSpPr>
        <xdr:cNvPr id="77" name="Gewinkelte Verbindung 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CxnSpPr/>
      </xdr:nvCxnSpPr>
      <xdr:spPr>
        <a:xfrm rot="16200000" flipH="1">
          <a:off x="873375" y="12467491"/>
          <a:ext cx="1441933" cy="984739"/>
        </a:xfrm>
        <a:prstGeom prst="bentConnector3">
          <a:avLst>
            <a:gd name="adj1" fmla="val 100407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175847</xdr:colOff>
      <xdr:row>57</xdr:row>
      <xdr:rowOff>23448</xdr:rowOff>
    </xdr:from>
    <xdr:to>
      <xdr:col>3</xdr:col>
      <xdr:colOff>1359879</xdr:colOff>
      <xdr:row>64</xdr:row>
      <xdr:rowOff>123091</xdr:rowOff>
    </xdr:to>
    <xdr:cxnSp macro="">
      <xdr:nvCxnSpPr>
        <xdr:cNvPr id="78" name="Gewinkelte Verbindung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CxnSpPr/>
      </xdr:nvCxnSpPr>
      <xdr:spPr>
        <a:xfrm rot="16200000" flipH="1">
          <a:off x="653564" y="12470423"/>
          <a:ext cx="1693981" cy="1184032"/>
        </a:xfrm>
        <a:prstGeom prst="bentConnector3">
          <a:avLst>
            <a:gd name="adj1" fmla="val 10017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152401</xdr:colOff>
      <xdr:row>57</xdr:row>
      <xdr:rowOff>2379</xdr:rowOff>
    </xdr:from>
    <xdr:to>
      <xdr:col>3</xdr:col>
      <xdr:colOff>1354017</xdr:colOff>
      <xdr:row>65</xdr:row>
      <xdr:rowOff>128953</xdr:rowOff>
    </xdr:to>
    <xdr:cxnSp macro="">
      <xdr:nvCxnSpPr>
        <xdr:cNvPr id="79" name="Gewinkelte Verbindung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CxnSpPr/>
      </xdr:nvCxnSpPr>
      <xdr:spPr>
        <a:xfrm rot="16200000" flipH="1">
          <a:off x="352883" y="12404205"/>
          <a:ext cx="1943651" cy="1524000"/>
        </a:xfrm>
        <a:prstGeom prst="bentConnector3">
          <a:avLst>
            <a:gd name="adj1" fmla="val 99760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37</xdr:col>
      <xdr:colOff>1274149</xdr:colOff>
      <xdr:row>5</xdr:row>
      <xdr:rowOff>59934</xdr:rowOff>
    </xdr:from>
    <xdr:to>
      <xdr:col>39</xdr:col>
      <xdr:colOff>881836</xdr:colOff>
      <xdr:row>9</xdr:row>
      <xdr:rowOff>272143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9032" b="7772"/>
        <a:stretch/>
      </xdr:blipFill>
      <xdr:spPr>
        <a:xfrm>
          <a:off x="23875613" y="1447863"/>
          <a:ext cx="1594330" cy="1300780"/>
        </a:xfrm>
        <a:prstGeom prst="rect">
          <a:avLst/>
        </a:prstGeom>
      </xdr:spPr>
    </xdr:pic>
    <xdr:clientData/>
  </xdr:twoCellAnchor>
  <xdr:twoCellAnchor>
    <xdr:from>
      <xdr:col>1</xdr:col>
      <xdr:colOff>33617</xdr:colOff>
      <xdr:row>4</xdr:row>
      <xdr:rowOff>31937</xdr:rowOff>
    </xdr:from>
    <xdr:to>
      <xdr:col>10</xdr:col>
      <xdr:colOff>68036</xdr:colOff>
      <xdr:row>9</xdr:row>
      <xdr:rowOff>108856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28867" y="1174937"/>
          <a:ext cx="6538633" cy="14104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de-DE" sz="1800"/>
            <a:t>Der Gesamtpreis setzt sich aus den</a:t>
          </a:r>
          <a:r>
            <a:rPr lang="de-DE" sz="1800" baseline="0"/>
            <a:t> </a:t>
          </a:r>
          <a:r>
            <a:rPr lang="de-DE" sz="1800"/>
            <a:t>gewählten Optionen zusammen.</a:t>
          </a:r>
          <a:r>
            <a:rPr lang="de-DE" sz="1800" baseline="0"/>
            <a:t> E</a:t>
          </a:r>
          <a:r>
            <a:rPr lang="de-DE" sz="1800"/>
            <a:t>in Bestellbeispiel</a:t>
          </a:r>
          <a:r>
            <a:rPr lang="de-DE" sz="1800" baseline="0"/>
            <a:t> ist unten Links angegeben. Sollten Sie die Excel besitzen, setzen Sie ein </a:t>
          </a:r>
          <a:r>
            <a:rPr lang="de-DE" sz="1800" b="1" baseline="0">
              <a:solidFill>
                <a:schemeClr val="accent6">
                  <a:lumMod val="75000"/>
                </a:schemeClr>
              </a:solidFill>
            </a:rPr>
            <a:t>"x"</a:t>
          </a:r>
          <a:r>
            <a:rPr lang="de-DE" sz="1800" baseline="0"/>
            <a:t> in dem Feld vor der Option. Auf der zweiten Seite wird dann automatisch der Endpreis berechnet.</a:t>
          </a:r>
          <a:endParaRPr lang="de-DE" sz="1800"/>
        </a:p>
      </xdr:txBody>
    </xdr:sp>
    <xdr:clientData/>
  </xdr:twoCellAnchor>
  <xdr:twoCellAnchor>
    <xdr:from>
      <xdr:col>2</xdr:col>
      <xdr:colOff>75638</xdr:colOff>
      <xdr:row>56</xdr:row>
      <xdr:rowOff>222738</xdr:rowOff>
    </xdr:from>
    <xdr:to>
      <xdr:col>3</xdr:col>
      <xdr:colOff>1348154</xdr:colOff>
      <xdr:row>57</xdr:row>
      <xdr:rowOff>59851</xdr:rowOff>
    </xdr:to>
    <xdr:sp macro="" textlink="">
      <xdr:nvSpPr>
        <xdr:cNvPr id="20" name="Rechteck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485946" y="12186138"/>
          <a:ext cx="1594900" cy="6571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15</xdr:col>
      <xdr:colOff>161501</xdr:colOff>
      <xdr:row>33</xdr:row>
      <xdr:rowOff>33618</xdr:rowOff>
    </xdr:from>
    <xdr:to>
      <xdr:col>17</xdr:col>
      <xdr:colOff>918882</xdr:colOff>
      <xdr:row>37</xdr:row>
      <xdr:rowOff>193696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9115001" y="7339853"/>
          <a:ext cx="1429734" cy="1090167"/>
        </a:xfrm>
        <a:prstGeom prst="rect">
          <a:avLst/>
        </a:prstGeom>
      </xdr:spPr>
    </xdr:pic>
    <xdr:clientData/>
  </xdr:twoCellAnchor>
  <xdr:twoCellAnchor editAs="oneCell">
    <xdr:from>
      <xdr:col>35</xdr:col>
      <xdr:colOff>925970</xdr:colOff>
      <xdr:row>40</xdr:row>
      <xdr:rowOff>62994</xdr:rowOff>
    </xdr:from>
    <xdr:to>
      <xdr:col>37</xdr:col>
      <xdr:colOff>1399441</xdr:colOff>
      <xdr:row>45</xdr:row>
      <xdr:rowOff>179294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22181374" y="10020282"/>
          <a:ext cx="1836279" cy="1442474"/>
        </a:xfrm>
        <a:prstGeom prst="rect">
          <a:avLst/>
        </a:prstGeom>
      </xdr:spPr>
    </xdr:pic>
    <xdr:clientData/>
  </xdr:twoCellAnchor>
  <xdr:twoCellAnchor editAs="oneCell">
    <xdr:from>
      <xdr:col>24</xdr:col>
      <xdr:colOff>738622</xdr:colOff>
      <xdr:row>58</xdr:row>
      <xdr:rowOff>45819</xdr:rowOff>
    </xdr:from>
    <xdr:to>
      <xdr:col>29</xdr:col>
      <xdr:colOff>112058</xdr:colOff>
      <xdr:row>63</xdr:row>
      <xdr:rowOff>313566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3843"/>
        <a:stretch/>
      </xdr:blipFill>
      <xdr:spPr>
        <a:xfrm>
          <a:off x="15922593" y="14434172"/>
          <a:ext cx="2242142" cy="1483585"/>
        </a:xfrm>
        <a:prstGeom prst="rect">
          <a:avLst/>
        </a:prstGeom>
      </xdr:spPr>
    </xdr:pic>
    <xdr:clientData/>
  </xdr:twoCellAnchor>
  <xdr:twoCellAnchor editAs="oneCell">
    <xdr:from>
      <xdr:col>34</xdr:col>
      <xdr:colOff>69915</xdr:colOff>
      <xdr:row>58</xdr:row>
      <xdr:rowOff>235325</xdr:rowOff>
    </xdr:from>
    <xdr:to>
      <xdr:col>36</xdr:col>
      <xdr:colOff>228430</xdr:colOff>
      <xdr:row>62</xdr:row>
      <xdr:rowOff>213587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44319" y="14837883"/>
          <a:ext cx="1521323" cy="967396"/>
        </a:xfrm>
        <a:prstGeom prst="rect">
          <a:avLst/>
        </a:prstGeom>
      </xdr:spPr>
    </xdr:pic>
    <xdr:clientData/>
  </xdr:twoCellAnchor>
  <xdr:twoCellAnchor editAs="oneCell">
    <xdr:from>
      <xdr:col>36</xdr:col>
      <xdr:colOff>260855</xdr:colOff>
      <xdr:row>58</xdr:row>
      <xdr:rowOff>81695</xdr:rowOff>
    </xdr:from>
    <xdr:to>
      <xdr:col>37</xdr:col>
      <xdr:colOff>1485591</xdr:colOff>
      <xdr:row>62</xdr:row>
      <xdr:rowOff>241788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4468" b="6262"/>
        <a:stretch/>
      </xdr:blipFill>
      <xdr:spPr>
        <a:xfrm>
          <a:off x="22498067" y="14684253"/>
          <a:ext cx="1605736" cy="1149227"/>
        </a:xfrm>
        <a:prstGeom prst="snip2DiagRect">
          <a:avLst>
            <a:gd name="adj1" fmla="val 0"/>
            <a:gd name="adj2" fmla="val 28910"/>
          </a:avLst>
        </a:prstGeom>
      </xdr:spPr>
    </xdr:pic>
    <xdr:clientData/>
  </xdr:twoCellAnchor>
  <xdr:twoCellAnchor>
    <xdr:from>
      <xdr:col>13</xdr:col>
      <xdr:colOff>5953</xdr:colOff>
      <xdr:row>85</xdr:row>
      <xdr:rowOff>149679</xdr:rowOff>
    </xdr:from>
    <xdr:to>
      <xdr:col>13</xdr:col>
      <xdr:colOff>489857</xdr:colOff>
      <xdr:row>85</xdr:row>
      <xdr:rowOff>152400</xdr:rowOff>
    </xdr:to>
    <xdr:cxnSp macro="">
      <xdr:nvCxnSpPr>
        <xdr:cNvPr id="38" name="Gerader Verbinder 37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CxnSpPr/>
      </xdr:nvCxnSpPr>
      <xdr:spPr>
        <a:xfrm flipH="1">
          <a:off x="8306310" y="22356536"/>
          <a:ext cx="483904" cy="2721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4483</xdr:colOff>
      <xdr:row>85</xdr:row>
      <xdr:rowOff>155869</xdr:rowOff>
    </xdr:from>
    <xdr:to>
      <xdr:col>13</xdr:col>
      <xdr:colOff>4483</xdr:colOff>
      <xdr:row>89</xdr:row>
      <xdr:rowOff>136921</xdr:rowOff>
    </xdr:to>
    <xdr:cxnSp macro="">
      <xdr:nvCxnSpPr>
        <xdr:cNvPr id="86" name="Gerader Verbinder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CxnSpPr/>
      </xdr:nvCxnSpPr>
      <xdr:spPr>
        <a:xfrm flipV="1">
          <a:off x="7291108" y="18015244"/>
          <a:ext cx="0" cy="138599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327</xdr:colOff>
      <xdr:row>89</xdr:row>
      <xdr:rowOff>129670</xdr:rowOff>
    </xdr:from>
    <xdr:to>
      <xdr:col>13</xdr:col>
      <xdr:colOff>11906</xdr:colOff>
      <xdr:row>89</xdr:row>
      <xdr:rowOff>129670</xdr:rowOff>
    </xdr:to>
    <xdr:cxnSp macro="">
      <xdr:nvCxnSpPr>
        <xdr:cNvPr id="87" name="Gerader Verbinder 86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CxnSpPr/>
      </xdr:nvCxnSpPr>
      <xdr:spPr>
        <a:xfrm flipH="1">
          <a:off x="7054780" y="19530904"/>
          <a:ext cx="868829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5953</xdr:colOff>
      <xdr:row>96</xdr:row>
      <xdr:rowOff>262462</xdr:rowOff>
    </xdr:from>
    <xdr:to>
      <xdr:col>14</xdr:col>
      <xdr:colOff>154</xdr:colOff>
      <xdr:row>96</xdr:row>
      <xdr:rowOff>262462</xdr:rowOff>
    </xdr:to>
    <xdr:cxnSp macro="">
      <xdr:nvCxnSpPr>
        <xdr:cNvPr id="89" name="Gerader Verbinder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CxnSpPr/>
      </xdr:nvCxnSpPr>
      <xdr:spPr>
        <a:xfrm flipH="1">
          <a:off x="7292578" y="21735384"/>
          <a:ext cx="357342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1332601</xdr:colOff>
      <xdr:row>58</xdr:row>
      <xdr:rowOff>44299</xdr:rowOff>
    </xdr:from>
    <xdr:to>
      <xdr:col>3</xdr:col>
      <xdr:colOff>1418492</xdr:colOff>
      <xdr:row>66</xdr:row>
      <xdr:rowOff>3</xdr:rowOff>
    </xdr:to>
    <xdr:sp macro="" textlink="">
      <xdr:nvSpPr>
        <xdr:cNvPr id="96" name="Rechteck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SpPr/>
      </xdr:nvSpPr>
      <xdr:spPr>
        <a:xfrm rot="5400000">
          <a:off x="1233572" y="13314205"/>
          <a:ext cx="1749334" cy="8589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16</xdr:col>
      <xdr:colOff>84907</xdr:colOff>
      <xdr:row>14</xdr:row>
      <xdr:rowOff>44838</xdr:rowOff>
    </xdr:from>
    <xdr:to>
      <xdr:col>17</xdr:col>
      <xdr:colOff>2200158</xdr:colOff>
      <xdr:row>18</xdr:row>
      <xdr:rowOff>180883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20495" y="3014397"/>
          <a:ext cx="2496251" cy="1032516"/>
        </a:xfrm>
        <a:prstGeom prst="rect">
          <a:avLst/>
        </a:prstGeom>
      </xdr:spPr>
    </xdr:pic>
    <xdr:clientData/>
  </xdr:twoCellAnchor>
  <xdr:twoCellAnchor editAs="oneCell">
    <xdr:from>
      <xdr:col>32</xdr:col>
      <xdr:colOff>157615</xdr:colOff>
      <xdr:row>5</xdr:row>
      <xdr:rowOff>189699</xdr:rowOff>
    </xdr:from>
    <xdr:to>
      <xdr:col>35</xdr:col>
      <xdr:colOff>571500</xdr:colOff>
      <xdr:row>9</xdr:row>
      <xdr:rowOff>163286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8870" b="16470"/>
        <a:stretch/>
      </xdr:blipFill>
      <xdr:spPr>
        <a:xfrm>
          <a:off x="20119294" y="1577628"/>
          <a:ext cx="1692956" cy="1062158"/>
        </a:xfrm>
        <a:prstGeom prst="rect">
          <a:avLst/>
        </a:prstGeom>
      </xdr:spPr>
    </xdr:pic>
    <xdr:clientData/>
  </xdr:twoCellAnchor>
  <xdr:twoCellAnchor>
    <xdr:from>
      <xdr:col>13</xdr:col>
      <xdr:colOff>8055</xdr:colOff>
      <xdr:row>90</xdr:row>
      <xdr:rowOff>135629</xdr:rowOff>
    </xdr:from>
    <xdr:to>
      <xdr:col>13</xdr:col>
      <xdr:colOff>8055</xdr:colOff>
      <xdr:row>96</xdr:row>
      <xdr:rowOff>267890</xdr:rowOff>
    </xdr:to>
    <xdr:cxnSp macro="">
      <xdr:nvCxnSpPr>
        <xdr:cNvPr id="82" name="Gerader Verbinder 85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CxnSpPr/>
      </xdr:nvCxnSpPr>
      <xdr:spPr>
        <a:xfrm flipV="1">
          <a:off x="7294680" y="19715457"/>
          <a:ext cx="0" cy="2025355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7363</xdr:colOff>
      <xdr:row>90</xdr:row>
      <xdr:rowOff>142118</xdr:rowOff>
    </xdr:from>
    <xdr:to>
      <xdr:col>13</xdr:col>
      <xdr:colOff>9417</xdr:colOff>
      <xdr:row>90</xdr:row>
      <xdr:rowOff>142118</xdr:rowOff>
    </xdr:to>
    <xdr:cxnSp macro="">
      <xdr:nvCxnSpPr>
        <xdr:cNvPr id="83" name="Gerader Verbinder 86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CxnSpPr/>
      </xdr:nvCxnSpPr>
      <xdr:spPr>
        <a:xfrm flipH="1">
          <a:off x="6496269" y="19721946"/>
          <a:ext cx="799773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35</xdr:col>
      <xdr:colOff>503465</xdr:colOff>
      <xdr:row>5</xdr:row>
      <xdr:rowOff>75559</xdr:rowOff>
    </xdr:from>
    <xdr:to>
      <xdr:col>37</xdr:col>
      <xdr:colOff>1402103</xdr:colOff>
      <xdr:row>9</xdr:row>
      <xdr:rowOff>267541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5581" b="11092"/>
        <a:stretch/>
      </xdr:blipFill>
      <xdr:spPr>
        <a:xfrm>
          <a:off x="21744215" y="1463488"/>
          <a:ext cx="2259352" cy="1280553"/>
        </a:xfrm>
        <a:prstGeom prst="rect">
          <a:avLst/>
        </a:prstGeom>
      </xdr:spPr>
    </xdr:pic>
    <xdr:clientData/>
  </xdr:twoCellAnchor>
  <xdr:twoCellAnchor>
    <xdr:from>
      <xdr:col>18</xdr:col>
      <xdr:colOff>515471</xdr:colOff>
      <xdr:row>4</xdr:row>
      <xdr:rowOff>11205</xdr:rowOff>
    </xdr:from>
    <xdr:to>
      <xdr:col>18</xdr:col>
      <xdr:colOff>530678</xdr:colOff>
      <xdr:row>12</xdr:row>
      <xdr:rowOff>27214</xdr:rowOff>
    </xdr:to>
    <xdr:cxnSp macro="">
      <xdr:nvCxnSpPr>
        <xdr:cNvPr id="44" name="Gerade Verbindung 4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CxnSpPr/>
      </xdr:nvCxnSpPr>
      <xdr:spPr>
        <a:xfrm>
          <a:off x="12775507" y="1154205"/>
          <a:ext cx="15207" cy="2370045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22</xdr:col>
      <xdr:colOff>472250</xdr:colOff>
      <xdr:row>14</xdr:row>
      <xdr:rowOff>58431</xdr:rowOff>
    </xdr:from>
    <xdr:to>
      <xdr:col>24</xdr:col>
      <xdr:colOff>815997</xdr:colOff>
      <xdr:row>18</xdr:row>
      <xdr:rowOff>173942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487" t="8870" r="7639" b="16470"/>
        <a:stretch/>
      </xdr:blipFill>
      <xdr:spPr>
        <a:xfrm>
          <a:off x="14244279" y="3027990"/>
          <a:ext cx="1391497" cy="1011982"/>
        </a:xfrm>
        <a:prstGeom prst="rect">
          <a:avLst/>
        </a:prstGeom>
      </xdr:spPr>
    </xdr:pic>
    <xdr:clientData/>
  </xdr:twoCellAnchor>
  <xdr:twoCellAnchor editAs="oneCell">
    <xdr:from>
      <xdr:col>18</xdr:col>
      <xdr:colOff>533139</xdr:colOff>
      <xdr:row>14</xdr:row>
      <xdr:rowOff>40049</xdr:rowOff>
    </xdr:from>
    <xdr:to>
      <xdr:col>21</xdr:col>
      <xdr:colOff>54409</xdr:colOff>
      <xdr:row>18</xdr:row>
      <xdr:rowOff>186621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489815" y="3009608"/>
          <a:ext cx="1336623" cy="1043043"/>
        </a:xfrm>
        <a:prstGeom prst="rect">
          <a:avLst/>
        </a:prstGeom>
      </xdr:spPr>
    </xdr:pic>
    <xdr:clientData/>
  </xdr:twoCellAnchor>
  <xdr:twoCellAnchor editAs="oneCell">
    <xdr:from>
      <xdr:col>29</xdr:col>
      <xdr:colOff>232570</xdr:colOff>
      <xdr:row>25</xdr:row>
      <xdr:rowOff>38357</xdr:rowOff>
    </xdr:from>
    <xdr:to>
      <xdr:col>33</xdr:col>
      <xdr:colOff>305864</xdr:colOff>
      <xdr:row>30</xdr:row>
      <xdr:rowOff>206523</xdr:rowOff>
    </xdr:to>
    <xdr:pic>
      <xdr:nvPicPr>
        <xdr:cNvPr id="90" name="Grafik 89" descr="Lenz 10231-02 Decoder Standard+ V2 NEM652 | Lokdecoder und Energiespeicher  | Lenz digital | Elektronik | Zubehör | fischer-modell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1" b="7737"/>
        <a:stretch/>
      </xdr:blipFill>
      <xdr:spPr bwMode="auto">
        <a:xfrm>
          <a:off x="18437744" y="6258596"/>
          <a:ext cx="2409582" cy="1319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768720</xdr:colOff>
      <xdr:row>42</xdr:row>
      <xdr:rowOff>89648</xdr:rowOff>
    </xdr:from>
    <xdr:to>
      <xdr:col>29</xdr:col>
      <xdr:colOff>17925</xdr:colOff>
      <xdr:row>46</xdr:row>
      <xdr:rowOff>201709</xdr:rowOff>
    </xdr:to>
    <xdr:pic>
      <xdr:nvPicPr>
        <xdr:cNvPr id="100" name="Grafik 99" descr="Lenz 10231-02 Decoder Standard+ V2 NEM652 | Lokdecoder und Energiespeicher  | Lenz digital | Elektronik | Zubehör | fischer-modell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1" b="7737"/>
        <a:stretch/>
      </xdr:blipFill>
      <xdr:spPr bwMode="auto">
        <a:xfrm>
          <a:off x="15369985" y="9962030"/>
          <a:ext cx="2117911" cy="117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77640</xdr:colOff>
      <xdr:row>106</xdr:row>
      <xdr:rowOff>78440</xdr:rowOff>
    </xdr:from>
    <xdr:to>
      <xdr:col>25</xdr:col>
      <xdr:colOff>156882</xdr:colOff>
      <xdr:row>109</xdr:row>
      <xdr:rowOff>100851</xdr:rowOff>
    </xdr:to>
    <xdr:sp macro="" textlink="">
      <xdr:nvSpPr>
        <xdr:cNvPr id="12" name="Textfeld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8403611" y="28474146"/>
          <a:ext cx="7452712" cy="8964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4800">
              <a:solidFill>
                <a:schemeClr val="tx2">
                  <a:lumMod val="60000"/>
                  <a:lumOff val="40000"/>
                </a:schemeClr>
              </a:solidFill>
              <a:latin typeface="Bahnschrift Light" panose="020B0502040204020203" pitchFamily="34" charset="0"/>
            </a:rPr>
            <a:t>www.der-gartenbahner.de</a:t>
          </a:r>
        </a:p>
      </xdr:txBody>
    </xdr:sp>
    <xdr:clientData/>
  </xdr:twoCellAnchor>
  <xdr:twoCellAnchor editAs="oneCell">
    <xdr:from>
      <xdr:col>37</xdr:col>
      <xdr:colOff>1502018</xdr:colOff>
      <xdr:row>57</xdr:row>
      <xdr:rowOff>163677</xdr:rowOff>
    </xdr:from>
    <xdr:to>
      <xdr:col>39</xdr:col>
      <xdr:colOff>931800</xdr:colOff>
      <xdr:row>63</xdr:row>
      <xdr:rowOff>235136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8271" t="9916" r="18939" b="3341"/>
        <a:stretch/>
      </xdr:blipFill>
      <xdr:spPr>
        <a:xfrm>
          <a:off x="24120230" y="14517119"/>
          <a:ext cx="1408051" cy="1551498"/>
        </a:xfrm>
        <a:prstGeom prst="rect">
          <a:avLst/>
        </a:prstGeom>
      </xdr:spPr>
    </xdr:pic>
    <xdr:clientData/>
  </xdr:twoCellAnchor>
  <xdr:twoCellAnchor editAs="oneCell">
    <xdr:from>
      <xdr:col>36</xdr:col>
      <xdr:colOff>318566</xdr:colOff>
      <xdr:row>81</xdr:row>
      <xdr:rowOff>155282</xdr:rowOff>
    </xdr:from>
    <xdr:to>
      <xdr:col>37</xdr:col>
      <xdr:colOff>1508791</xdr:colOff>
      <xdr:row>84</xdr:row>
      <xdr:rowOff>160217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7664" t="7468" r="4878" b="4739"/>
        <a:stretch/>
      </xdr:blipFill>
      <xdr:spPr>
        <a:xfrm>
          <a:off x="21845066" y="19799194"/>
          <a:ext cx="1564021" cy="1562552"/>
        </a:xfrm>
        <a:prstGeom prst="ellipse">
          <a:avLst/>
        </a:prstGeom>
      </xdr:spPr>
    </xdr:pic>
    <xdr:clientData/>
  </xdr:twoCellAnchor>
  <xdr:twoCellAnchor>
    <xdr:from>
      <xdr:col>17</xdr:col>
      <xdr:colOff>437832</xdr:colOff>
      <xdr:row>19</xdr:row>
      <xdr:rowOff>89648</xdr:rowOff>
    </xdr:from>
    <xdr:to>
      <xdr:col>24</xdr:col>
      <xdr:colOff>560294</xdr:colOff>
      <xdr:row>23</xdr:row>
      <xdr:rowOff>115261</xdr:rowOff>
    </xdr:to>
    <xdr:sp macro="" textlink="">
      <xdr:nvSpPr>
        <xdr:cNvPr id="63" name="Textfeld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SpPr txBox="1"/>
      </xdr:nvSpPr>
      <xdr:spPr>
        <a:xfrm>
          <a:off x="10220567" y="4986619"/>
          <a:ext cx="5053051" cy="92208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3000">
              <a:solidFill>
                <a:schemeClr val="tx2">
                  <a:lumMod val="60000"/>
                  <a:lumOff val="40000"/>
                </a:schemeClr>
              </a:solidFill>
              <a:latin typeface="Bahnschrift Light" panose="020B0502040204020203" pitchFamily="34" charset="0"/>
            </a:rPr>
            <a:t>www.der-gartenbahner.de</a:t>
          </a:r>
        </a:p>
      </xdr:txBody>
    </xdr:sp>
    <xdr:clientData/>
  </xdr:twoCellAnchor>
  <xdr:twoCellAnchor>
    <xdr:from>
      <xdr:col>37</xdr:col>
      <xdr:colOff>583882</xdr:colOff>
      <xdr:row>46</xdr:row>
      <xdr:rowOff>13607</xdr:rowOff>
    </xdr:from>
    <xdr:to>
      <xdr:col>37</xdr:col>
      <xdr:colOff>594224</xdr:colOff>
      <xdr:row>55</xdr:row>
      <xdr:rowOff>11206</xdr:rowOff>
    </xdr:to>
    <xdr:cxnSp macro="">
      <xdr:nvCxnSpPr>
        <xdr:cNvPr id="64" name="Gerade Verbindung 35">
          <a:extLst>
            <a:ext uri="{FF2B5EF4-FFF2-40B4-BE49-F238E27FC236}">
              <a16:creationId xmlns:a16="http://schemas.microsoft.com/office/drawing/2014/main" id="{64A59D51-F467-413E-B4A2-8FE6E76FFA10}"/>
            </a:ext>
          </a:extLst>
        </xdr:cNvPr>
        <xdr:cNvCxnSpPr/>
      </xdr:nvCxnSpPr>
      <xdr:spPr>
        <a:xfrm>
          <a:off x="23103703" y="11402786"/>
          <a:ext cx="10342" cy="2269991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959068</xdr:colOff>
      <xdr:row>28</xdr:row>
      <xdr:rowOff>175244</xdr:rowOff>
    </xdr:from>
    <xdr:to>
      <xdr:col>26</xdr:col>
      <xdr:colOff>309128</xdr:colOff>
      <xdr:row>28</xdr:row>
      <xdr:rowOff>177938</xdr:rowOff>
    </xdr:to>
    <xdr:cxnSp macro="">
      <xdr:nvCxnSpPr>
        <xdr:cNvPr id="80" name="Gerade Verbindung 84">
          <a:extLst>
            <a:ext uri="{FF2B5EF4-FFF2-40B4-BE49-F238E27FC236}">
              <a16:creationId xmlns:a16="http://schemas.microsoft.com/office/drawing/2014/main" id="{EFEAC850-F9F1-4041-BECB-90E54F3BB1B8}"/>
            </a:ext>
          </a:extLst>
        </xdr:cNvPr>
        <xdr:cNvCxnSpPr/>
      </xdr:nvCxnSpPr>
      <xdr:spPr>
        <a:xfrm>
          <a:off x="16298459" y="7066374"/>
          <a:ext cx="840930" cy="2694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694765</xdr:colOff>
      <xdr:row>23</xdr:row>
      <xdr:rowOff>123265</xdr:rowOff>
    </xdr:from>
    <xdr:to>
      <xdr:col>7</xdr:col>
      <xdr:colOff>11206</xdr:colOff>
      <xdr:row>23</xdr:row>
      <xdr:rowOff>123265</xdr:rowOff>
    </xdr:to>
    <xdr:cxnSp macro="">
      <xdr:nvCxnSpPr>
        <xdr:cNvPr id="84" name="Gerade Verbindung 17">
          <a:extLst>
            <a:ext uri="{FF2B5EF4-FFF2-40B4-BE49-F238E27FC236}">
              <a16:creationId xmlns:a16="http://schemas.microsoft.com/office/drawing/2014/main" id="{A3196CC2-F9DB-4C00-9D08-08732DC7F1AD}"/>
            </a:ext>
          </a:extLst>
        </xdr:cNvPr>
        <xdr:cNvCxnSpPr/>
      </xdr:nvCxnSpPr>
      <xdr:spPr>
        <a:xfrm>
          <a:off x="3316941" y="5771030"/>
          <a:ext cx="1367118" cy="0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694764</xdr:colOff>
      <xdr:row>16</xdr:row>
      <xdr:rowOff>100853</xdr:rowOff>
    </xdr:from>
    <xdr:to>
      <xdr:col>31</xdr:col>
      <xdr:colOff>694764</xdr:colOff>
      <xdr:row>22</xdr:row>
      <xdr:rowOff>0</xdr:rowOff>
    </xdr:to>
    <xdr:cxnSp macro="">
      <xdr:nvCxnSpPr>
        <xdr:cNvPr id="119" name="Gerade Verbindung 35">
          <a:extLst>
            <a:ext uri="{FF2B5EF4-FFF2-40B4-BE49-F238E27FC236}">
              <a16:creationId xmlns:a16="http://schemas.microsoft.com/office/drawing/2014/main" id="{8A41ABD2-3452-4827-BE06-FC31965720D6}"/>
            </a:ext>
          </a:extLst>
        </xdr:cNvPr>
        <xdr:cNvCxnSpPr/>
      </xdr:nvCxnSpPr>
      <xdr:spPr>
        <a:xfrm>
          <a:off x="18971558" y="4179794"/>
          <a:ext cx="0" cy="1243853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22411</xdr:colOff>
      <xdr:row>0</xdr:row>
      <xdr:rowOff>112059</xdr:rowOff>
    </xdr:from>
    <xdr:to>
      <xdr:col>8</xdr:col>
      <xdr:colOff>22411</xdr:colOff>
      <xdr:row>3</xdr:row>
      <xdr:rowOff>134471</xdr:rowOff>
    </xdr:to>
    <xdr:sp macro="" textlink="">
      <xdr:nvSpPr>
        <xdr:cNvPr id="88" name="Textfeld 87">
          <a:extLst>
            <a:ext uri="{FF2B5EF4-FFF2-40B4-BE49-F238E27FC236}">
              <a16:creationId xmlns:a16="http://schemas.microsoft.com/office/drawing/2014/main" id="{1DA27617-E833-43DF-BC00-48A893DCBD1A}"/>
            </a:ext>
          </a:extLst>
        </xdr:cNvPr>
        <xdr:cNvSpPr txBox="1"/>
      </xdr:nvSpPr>
      <xdr:spPr>
        <a:xfrm>
          <a:off x="123264" y="112059"/>
          <a:ext cx="4953000" cy="8964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3000" b="1">
              <a:solidFill>
                <a:schemeClr val="bg1">
                  <a:lumMod val="95000"/>
                </a:schemeClr>
              </a:solidFill>
              <a:latin typeface="+mn-lt"/>
            </a:rPr>
            <a:t>PREISDIAGRAMM</a:t>
          </a:r>
        </a:p>
        <a:p>
          <a:r>
            <a:rPr lang="de-DE" sz="1900" b="1">
              <a:solidFill>
                <a:schemeClr val="tx1"/>
              </a:solidFill>
              <a:latin typeface="Bahnschrift Light" panose="020B0502040204020203" pitchFamily="34" charset="0"/>
            </a:rPr>
            <a:t>Konfigurieren Sie sich Ihren Bürstenwagen</a:t>
          </a:r>
        </a:p>
      </xdr:txBody>
    </xdr:sp>
    <xdr:clientData/>
  </xdr:twoCellAnchor>
  <xdr:twoCellAnchor>
    <xdr:from>
      <xdr:col>9</xdr:col>
      <xdr:colOff>578223</xdr:colOff>
      <xdr:row>23</xdr:row>
      <xdr:rowOff>118782</xdr:rowOff>
    </xdr:from>
    <xdr:to>
      <xdr:col>17</xdr:col>
      <xdr:colOff>353785</xdr:colOff>
      <xdr:row>23</xdr:row>
      <xdr:rowOff>122465</xdr:rowOff>
    </xdr:to>
    <xdr:cxnSp macro="">
      <xdr:nvCxnSpPr>
        <xdr:cNvPr id="95" name="Gerade Verbindung 17">
          <a:extLst>
            <a:ext uri="{FF2B5EF4-FFF2-40B4-BE49-F238E27FC236}">
              <a16:creationId xmlns:a16="http://schemas.microsoft.com/office/drawing/2014/main" id="{24EDD985-7B46-4A60-BC7A-29C582BE4BBD}"/>
            </a:ext>
          </a:extLst>
        </xdr:cNvPr>
        <xdr:cNvCxnSpPr/>
      </xdr:nvCxnSpPr>
      <xdr:spPr>
        <a:xfrm>
          <a:off x="6592580" y="5969853"/>
          <a:ext cx="3531134" cy="3683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6724</xdr:colOff>
      <xdr:row>16</xdr:row>
      <xdr:rowOff>117563</xdr:rowOff>
    </xdr:from>
    <xdr:to>
      <xdr:col>31</xdr:col>
      <xdr:colOff>717177</xdr:colOff>
      <xdr:row>16</xdr:row>
      <xdr:rowOff>128737</xdr:rowOff>
    </xdr:to>
    <xdr:cxnSp macro="">
      <xdr:nvCxnSpPr>
        <xdr:cNvPr id="104" name="Gerade Verbindung 31">
          <a:extLst>
            <a:ext uri="{FF2B5EF4-FFF2-40B4-BE49-F238E27FC236}">
              <a16:creationId xmlns:a16="http://schemas.microsoft.com/office/drawing/2014/main" id="{C35F89BA-BFE6-4EC6-AD79-C24B6342825C}"/>
            </a:ext>
          </a:extLst>
        </xdr:cNvPr>
        <xdr:cNvCxnSpPr/>
      </xdr:nvCxnSpPr>
      <xdr:spPr>
        <a:xfrm>
          <a:off x="15706165" y="4196504"/>
          <a:ext cx="3287806" cy="11174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36374</xdr:colOff>
      <xdr:row>52</xdr:row>
      <xdr:rowOff>44823</xdr:rowOff>
    </xdr:from>
    <xdr:to>
      <xdr:col>25</xdr:col>
      <xdr:colOff>42405</xdr:colOff>
      <xdr:row>54</xdr:row>
      <xdr:rowOff>235324</xdr:rowOff>
    </xdr:to>
    <xdr:cxnSp macro="">
      <xdr:nvCxnSpPr>
        <xdr:cNvPr id="110" name="Gerade Verbindung 39">
          <a:extLst>
            <a:ext uri="{FF2B5EF4-FFF2-40B4-BE49-F238E27FC236}">
              <a16:creationId xmlns:a16="http://schemas.microsoft.com/office/drawing/2014/main" id="{72D9D1A7-8789-4BE0-87CD-E34E162DF3B1}"/>
            </a:ext>
          </a:extLst>
        </xdr:cNvPr>
        <xdr:cNvCxnSpPr/>
      </xdr:nvCxnSpPr>
      <xdr:spPr>
        <a:xfrm>
          <a:off x="15735815" y="12629029"/>
          <a:ext cx="6031" cy="750795"/>
        </a:xfrm>
        <a:prstGeom prst="line">
          <a:avLst/>
        </a:prstGeom>
        <a:ln w="57150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7842</xdr:colOff>
      <xdr:row>9</xdr:row>
      <xdr:rowOff>8003</xdr:rowOff>
    </xdr:from>
    <xdr:to>
      <xdr:col>5</xdr:col>
      <xdr:colOff>1211036</xdr:colOff>
      <xdr:row>13</xdr:row>
      <xdr:rowOff>105735</xdr:rowOff>
    </xdr:to>
    <xdr:sp macro="" textlink="">
      <xdr:nvSpPr>
        <xdr:cNvPr id="115" name="Textfeld 114">
          <a:extLst>
            <a:ext uri="{FF2B5EF4-FFF2-40B4-BE49-F238E27FC236}">
              <a16:creationId xmlns:a16="http://schemas.microsoft.com/office/drawing/2014/main" id="{216A9C70-88AB-4EE3-9C9C-E68B342FFEE9}"/>
            </a:ext>
          </a:extLst>
        </xdr:cNvPr>
        <xdr:cNvSpPr txBox="1"/>
      </xdr:nvSpPr>
      <xdr:spPr>
        <a:xfrm>
          <a:off x="103092" y="2484503"/>
          <a:ext cx="3720515" cy="13631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de-DE" sz="1800" b="1"/>
            <a:t>Kontakt</a:t>
          </a:r>
        </a:p>
        <a:p>
          <a:pPr algn="l"/>
          <a:r>
            <a:rPr lang="de-DE" sz="1800"/>
            <a:t>Johannes Meischner</a:t>
          </a:r>
        </a:p>
        <a:p>
          <a:pPr algn="l"/>
          <a:r>
            <a:rPr lang="de-DE" sz="1800"/>
            <a:t>Tel.:     (+49) 172 / 8990699</a:t>
          </a:r>
        </a:p>
        <a:p>
          <a:pPr algn="l"/>
          <a:r>
            <a:rPr lang="de-DE" sz="1800"/>
            <a:t>Mail:   moritz0071@googlemail.com</a:t>
          </a:r>
        </a:p>
      </xdr:txBody>
    </xdr:sp>
    <xdr:clientData/>
  </xdr:twoCellAnchor>
  <xdr:twoCellAnchor editAs="oneCell">
    <xdr:from>
      <xdr:col>31</xdr:col>
      <xdr:colOff>806824</xdr:colOff>
      <xdr:row>107</xdr:row>
      <xdr:rowOff>175878</xdr:rowOff>
    </xdr:from>
    <xdr:to>
      <xdr:col>38</xdr:col>
      <xdr:colOff>47546</xdr:colOff>
      <xdr:row>128</xdr:row>
      <xdr:rowOff>135249</xdr:rowOff>
    </xdr:to>
    <xdr:pic>
      <xdr:nvPicPr>
        <xdr:cNvPr id="116" name="Grafik 115">
          <a:extLst>
            <a:ext uri="{FF2B5EF4-FFF2-40B4-BE49-F238E27FC236}">
              <a16:creationId xmlns:a16="http://schemas.microsoft.com/office/drawing/2014/main" id="{CB17B7B1-A817-47D7-9DA8-6E8F86152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3913" r="68"/>
        <a:stretch/>
      </xdr:blipFill>
      <xdr:spPr>
        <a:xfrm>
          <a:off x="19083618" y="28907760"/>
          <a:ext cx="4388224" cy="6145018"/>
        </a:xfrm>
        <a:prstGeom prst="rect">
          <a:avLst/>
        </a:prstGeom>
      </xdr:spPr>
    </xdr:pic>
    <xdr:clientData/>
  </xdr:twoCellAnchor>
  <xdr:twoCellAnchor>
    <xdr:from>
      <xdr:col>26</xdr:col>
      <xdr:colOff>246528</xdr:colOff>
      <xdr:row>81</xdr:row>
      <xdr:rowOff>324970</xdr:rowOff>
    </xdr:from>
    <xdr:to>
      <xdr:col>36</xdr:col>
      <xdr:colOff>249892</xdr:colOff>
      <xdr:row>84</xdr:row>
      <xdr:rowOff>0</xdr:rowOff>
    </xdr:to>
    <xdr:sp macro="" textlink="">
      <xdr:nvSpPr>
        <xdr:cNvPr id="117" name="Textfeld 116">
          <a:extLst>
            <a:ext uri="{FF2B5EF4-FFF2-40B4-BE49-F238E27FC236}">
              <a16:creationId xmlns:a16="http://schemas.microsoft.com/office/drawing/2014/main" id="{85BCFA35-3E10-4C74-B806-34E3A2C39313}"/>
            </a:ext>
          </a:extLst>
        </xdr:cNvPr>
        <xdr:cNvSpPr txBox="1"/>
      </xdr:nvSpPr>
      <xdr:spPr>
        <a:xfrm>
          <a:off x="16461440" y="19991294"/>
          <a:ext cx="5314952" cy="12326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de-DE" sz="1800" b="1"/>
            <a:t>Kontakt</a:t>
          </a:r>
        </a:p>
        <a:p>
          <a:pPr algn="r"/>
          <a:r>
            <a:rPr lang="de-DE" sz="1800"/>
            <a:t>Johannes Meischner</a:t>
          </a:r>
        </a:p>
        <a:p>
          <a:pPr algn="r"/>
          <a:r>
            <a:rPr lang="de-DE" sz="1800"/>
            <a:t>(+49) 172 / 8990699</a:t>
          </a:r>
        </a:p>
        <a:p>
          <a:pPr algn="r"/>
          <a:r>
            <a:rPr lang="de-DE" sz="1800"/>
            <a:t>moritz0071@googlemail.com</a:t>
          </a:r>
        </a:p>
      </xdr:txBody>
    </xdr:sp>
    <xdr:clientData/>
  </xdr:twoCellAnchor>
  <xdr:twoCellAnchor editAs="oneCell">
    <xdr:from>
      <xdr:col>30</xdr:col>
      <xdr:colOff>99249</xdr:colOff>
      <xdr:row>5</xdr:row>
      <xdr:rowOff>59959</xdr:rowOff>
    </xdr:from>
    <xdr:to>
      <xdr:col>32</xdr:col>
      <xdr:colOff>219018</xdr:colOff>
      <xdr:row>9</xdr:row>
      <xdr:rowOff>258536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18618570" y="1447888"/>
          <a:ext cx="1562127" cy="12871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704850</xdr:colOff>
      <xdr:row>37</xdr:row>
      <xdr:rowOff>57150</xdr:rowOff>
    </xdr:from>
    <xdr:ext cx="184731" cy="264560"/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2906375" y="73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8</xdr:col>
      <xdr:colOff>704850</xdr:colOff>
      <xdr:row>37</xdr:row>
      <xdr:rowOff>57150</xdr:rowOff>
    </xdr:from>
    <xdr:ext cx="184731" cy="264560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1306175" y="73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704850</xdr:colOff>
      <xdr:row>37</xdr:row>
      <xdr:rowOff>57150</xdr:rowOff>
    </xdr:from>
    <xdr:ext cx="184731" cy="264560"/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19164300" y="73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11</xdr:col>
      <xdr:colOff>704850</xdr:colOff>
      <xdr:row>37</xdr:row>
      <xdr:rowOff>57150</xdr:rowOff>
    </xdr:from>
    <xdr:ext cx="184731" cy="264560"/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21793200" y="73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704850</xdr:colOff>
      <xdr:row>37</xdr:row>
      <xdr:rowOff>57150</xdr:rowOff>
    </xdr:from>
    <xdr:ext cx="184731" cy="264560"/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19164300" y="73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11</xdr:col>
      <xdr:colOff>704850</xdr:colOff>
      <xdr:row>37</xdr:row>
      <xdr:rowOff>57150</xdr:rowOff>
    </xdr:from>
    <xdr:ext cx="184731" cy="264560"/>
    <xdr:sp macro="" textlink="">
      <xdr:nvSpPr>
        <xdr:cNvPr id="9" name="Textfeld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21793200" y="73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10</xdr:col>
      <xdr:colOff>704850</xdr:colOff>
      <xdr:row>37</xdr:row>
      <xdr:rowOff>57150</xdr:rowOff>
    </xdr:from>
    <xdr:ext cx="184731" cy="264560"/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19164300" y="73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A1:AU173"/>
  <sheetViews>
    <sheetView showGridLines="0" tabSelected="1" view="pageBreakPreview" zoomScale="70" zoomScaleNormal="70" zoomScaleSheetLayoutView="70" zoomScalePageLayoutView="70" workbookViewId="0">
      <selection activeCell="AD3" sqref="AD3"/>
    </sheetView>
  </sheetViews>
  <sheetFormatPr baseColWidth="10" defaultColWidth="11.42578125" defaultRowHeight="17.25" outlineLevelRow="1" x14ac:dyDescent="0.3"/>
  <cols>
    <col min="1" max="1" width="1.42578125" style="105" customWidth="1"/>
    <col min="2" max="2" width="4.5703125" style="105" customWidth="1"/>
    <col min="3" max="3" width="5.7109375" style="105" customWidth="1"/>
    <col min="4" max="4" width="20.85546875" style="105" customWidth="1"/>
    <col min="5" max="5" width="6.7109375" style="142" customWidth="1"/>
    <col min="6" max="6" width="26" style="105" customWidth="1"/>
    <col min="7" max="7" width="4.7109375" style="105" customWidth="1"/>
    <col min="8" max="8" width="5.7109375" style="105" customWidth="1"/>
    <col min="9" max="9" width="14.7109375" style="105" customWidth="1"/>
    <col min="10" max="10" width="8.7109375" style="105" customWidth="1"/>
    <col min="11" max="11" width="4.7109375" style="105" customWidth="1"/>
    <col min="12" max="12" width="5.7109375" style="142" customWidth="1"/>
    <col min="13" max="13" width="15.140625" style="105" customWidth="1"/>
    <col min="14" max="14" width="7.7109375" style="105" customWidth="1"/>
    <col min="15" max="15" width="4" style="105" customWidth="1"/>
    <col min="16" max="16" width="4.42578125" style="105" customWidth="1"/>
    <col min="17" max="17" width="5.7109375" style="105" customWidth="1"/>
    <col min="18" max="18" width="37.42578125" style="105" customWidth="1"/>
    <col min="19" max="19" width="14.7109375" style="105" customWidth="1"/>
    <col min="20" max="20" width="4.7109375" style="105" customWidth="1"/>
    <col min="21" max="21" width="7.7109375" style="105" customWidth="1"/>
    <col min="22" max="22" width="4.7109375" style="105" customWidth="1"/>
    <col min="23" max="23" width="5.7109375" style="105" customWidth="1"/>
    <col min="24" max="24" width="8.5703125" style="105" customWidth="1"/>
    <col min="25" max="25" width="14.7109375" style="105" customWidth="1"/>
    <col min="26" max="26" width="7.7109375" style="105" customWidth="1"/>
    <col min="27" max="27" width="4.7109375" style="105" customWidth="1"/>
    <col min="28" max="28" width="5.7109375" style="105" customWidth="1"/>
    <col min="29" max="29" width="10.140625" style="105" customWidth="1"/>
    <col min="30" max="30" width="4.7109375" style="105" customWidth="1"/>
    <col min="31" max="31" width="7" style="105" customWidth="1"/>
    <col min="32" max="32" width="14.7109375" style="105" customWidth="1"/>
    <col min="33" max="33" width="8.7109375" style="105" customWidth="1"/>
    <col min="34" max="34" width="4.7109375" style="105" customWidth="1"/>
    <col min="35" max="35" width="5.7109375" style="105" customWidth="1"/>
    <col min="36" max="36" width="14.7109375" style="142" customWidth="1"/>
    <col min="37" max="37" width="5.7109375" style="142" customWidth="1"/>
    <col min="38" max="38" width="22.85546875" style="105" customWidth="1"/>
    <col min="39" max="39" width="6.85546875" style="105" customWidth="1"/>
    <col min="40" max="40" width="14.7109375" style="105" customWidth="1"/>
    <col min="41" max="41" width="2.140625" style="105" customWidth="1"/>
    <col min="42" max="42" width="13.28515625" style="105" customWidth="1"/>
    <col min="43" max="43" width="19.42578125" style="105" customWidth="1"/>
    <col min="44" max="44" width="10.5703125" style="105" customWidth="1"/>
    <col min="45" max="16384" width="11.42578125" style="105"/>
  </cols>
  <sheetData>
    <row r="1" spans="1:47" ht="11.25" customHeight="1" x14ac:dyDescent="0.3">
      <c r="A1" s="359"/>
      <c r="B1" s="359"/>
      <c r="C1" s="359"/>
      <c r="D1" s="359"/>
      <c r="E1" s="379"/>
      <c r="F1" s="359"/>
      <c r="G1" s="359"/>
      <c r="H1" s="359"/>
      <c r="I1" s="361"/>
      <c r="J1" s="361"/>
    </row>
    <row r="2" spans="1:47" ht="36" x14ac:dyDescent="0.55000000000000004">
      <c r="A2" s="359"/>
      <c r="B2" s="359"/>
      <c r="C2" s="359"/>
      <c r="D2" s="359"/>
      <c r="E2" s="379"/>
      <c r="F2" s="359"/>
      <c r="G2" s="359"/>
      <c r="H2" s="359"/>
      <c r="I2" s="361"/>
      <c r="J2" s="361"/>
      <c r="M2" s="383" t="s">
        <v>209</v>
      </c>
      <c r="N2" s="384"/>
      <c r="O2" s="384"/>
      <c r="P2" s="384"/>
      <c r="Q2" s="384"/>
      <c r="R2" s="385" t="s">
        <v>215</v>
      </c>
      <c r="S2" s="384"/>
      <c r="T2" s="384"/>
      <c r="U2" s="384"/>
      <c r="V2" s="384"/>
      <c r="W2" s="384"/>
      <c r="X2" s="386">
        <v>475</v>
      </c>
      <c r="Y2" s="387"/>
      <c r="Z2" s="388"/>
      <c r="AB2" s="142"/>
      <c r="AM2" s="389" t="s">
        <v>148</v>
      </c>
      <c r="AN2" s="390">
        <f ca="1">TODAY()</f>
        <v>45140</v>
      </c>
    </row>
    <row r="3" spans="1:47" ht="21" customHeight="1" x14ac:dyDescent="0.5">
      <c r="A3" s="359"/>
      <c r="B3" s="378"/>
      <c r="C3" s="359"/>
      <c r="D3" s="359"/>
      <c r="E3" s="379"/>
      <c r="F3" s="359"/>
      <c r="G3" s="359"/>
      <c r="H3" s="359"/>
      <c r="I3" s="361"/>
      <c r="J3" s="361"/>
      <c r="M3" s="380" t="s">
        <v>210</v>
      </c>
      <c r="N3" s="381"/>
      <c r="O3" s="382"/>
      <c r="P3" s="318"/>
      <c r="Q3" s="318"/>
      <c r="R3" s="318"/>
      <c r="S3" s="318"/>
      <c r="T3" s="318"/>
      <c r="U3" s="318"/>
      <c r="V3" s="318"/>
      <c r="W3" s="318"/>
      <c r="X3" s="318"/>
      <c r="Y3" s="318"/>
      <c r="Z3" s="209"/>
      <c r="AD3" s="103"/>
      <c r="AE3" s="356" t="s">
        <v>146</v>
      </c>
      <c r="AF3" s="357" t="s">
        <v>185</v>
      </c>
      <c r="AG3" s="357"/>
      <c r="AH3" s="357"/>
      <c r="AI3" s="357"/>
      <c r="AJ3" s="357"/>
      <c r="AK3" s="357"/>
      <c r="AL3" s="357"/>
      <c r="AM3" s="357"/>
      <c r="AN3" s="358">
        <v>50</v>
      </c>
    </row>
    <row r="4" spans="1:47" ht="20.25" customHeight="1" x14ac:dyDescent="0.45">
      <c r="A4" s="359"/>
      <c r="B4" s="362"/>
      <c r="C4" s="359"/>
      <c r="D4" s="359"/>
      <c r="E4" s="363"/>
      <c r="F4" s="359"/>
      <c r="G4" s="359"/>
      <c r="H4" s="359"/>
      <c r="I4" s="361"/>
      <c r="J4" s="361"/>
      <c r="M4" s="364" t="s">
        <v>211</v>
      </c>
      <c r="N4" s="219"/>
      <c r="O4" s="219"/>
      <c r="P4" s="365"/>
      <c r="Q4" s="365"/>
      <c r="R4" s="365"/>
      <c r="S4" s="219"/>
      <c r="T4" s="219"/>
      <c r="U4" s="219"/>
      <c r="V4" s="219"/>
      <c r="W4" s="219"/>
      <c r="X4" s="219"/>
      <c r="Y4" s="219"/>
      <c r="Z4" s="280"/>
      <c r="AD4" s="366"/>
      <c r="AE4" s="367"/>
      <c r="AF4" s="207" t="s">
        <v>150</v>
      </c>
      <c r="AG4" s="207"/>
      <c r="AH4" s="207"/>
      <c r="AI4" s="207"/>
      <c r="AJ4" s="207"/>
      <c r="AK4" s="207"/>
      <c r="AL4" s="207"/>
      <c r="AM4" s="207"/>
      <c r="AN4" s="368"/>
    </row>
    <row r="5" spans="1:47" ht="18.75" x14ac:dyDescent="0.3">
      <c r="A5" s="369"/>
      <c r="B5" s="369"/>
      <c r="C5" s="369"/>
      <c r="D5" s="369"/>
      <c r="E5" s="370"/>
      <c r="F5" s="369"/>
      <c r="G5" s="369"/>
      <c r="H5" s="369"/>
      <c r="I5" s="369"/>
      <c r="J5" s="369"/>
      <c r="M5" s="352" t="s">
        <v>237</v>
      </c>
      <c r="AD5" s="352"/>
      <c r="AE5" s="371"/>
      <c r="AF5" s="219" t="s">
        <v>122</v>
      </c>
      <c r="AG5" s="219"/>
      <c r="AH5" s="219"/>
      <c r="AI5" s="219"/>
      <c r="AJ5" s="219"/>
      <c r="AK5" s="219"/>
      <c r="AL5" s="219"/>
      <c r="AM5" s="219"/>
      <c r="AN5" s="372"/>
    </row>
    <row r="6" spans="1:47" ht="18.75" x14ac:dyDescent="0.3">
      <c r="A6" s="369"/>
      <c r="B6" s="369"/>
      <c r="C6" s="369"/>
      <c r="D6" s="369"/>
      <c r="E6" s="370"/>
      <c r="F6" s="369"/>
      <c r="G6" s="369"/>
      <c r="H6" s="369"/>
      <c r="I6" s="369"/>
      <c r="J6" s="369"/>
      <c r="N6" s="142"/>
      <c r="AD6" s="352"/>
      <c r="AE6" s="373"/>
      <c r="AF6" s="352"/>
      <c r="AG6" s="266"/>
      <c r="AH6" s="266"/>
      <c r="AI6" s="266"/>
      <c r="AJ6" s="266"/>
      <c r="AK6" s="266"/>
      <c r="AN6" s="374"/>
    </row>
    <row r="7" spans="1:47" ht="18.75" x14ac:dyDescent="0.3">
      <c r="A7" s="369"/>
      <c r="B7" s="369"/>
      <c r="C7" s="369"/>
      <c r="D7" s="369"/>
      <c r="E7" s="370"/>
      <c r="F7" s="369"/>
      <c r="G7" s="369"/>
      <c r="H7" s="369"/>
      <c r="I7" s="369"/>
      <c r="J7" s="369"/>
      <c r="AD7" s="352"/>
      <c r="AE7" s="373"/>
      <c r="AF7" s="352"/>
      <c r="AG7" s="266"/>
      <c r="AH7" s="266"/>
      <c r="AI7" s="266"/>
      <c r="AJ7" s="266"/>
      <c r="AK7" s="266"/>
      <c r="AN7" s="374"/>
    </row>
    <row r="8" spans="1:47" ht="23.25" x14ac:dyDescent="0.3">
      <c r="A8" s="369"/>
      <c r="B8" s="369"/>
      <c r="C8" s="369"/>
      <c r="D8" s="369"/>
      <c r="E8" s="375"/>
      <c r="F8" s="369"/>
      <c r="G8" s="369"/>
      <c r="H8" s="369"/>
      <c r="I8" s="369"/>
      <c r="J8" s="369"/>
      <c r="Z8" s="376" t="s">
        <v>197</v>
      </c>
      <c r="AD8" s="352"/>
      <c r="AE8" s="373"/>
      <c r="AF8" s="352"/>
      <c r="AG8" s="266"/>
      <c r="AH8" s="266"/>
      <c r="AI8" s="266"/>
      <c r="AJ8" s="266"/>
      <c r="AK8" s="266"/>
      <c r="AN8" s="374"/>
      <c r="AU8" s="352"/>
    </row>
    <row r="9" spans="1:47" ht="23.25" x14ac:dyDescent="0.3">
      <c r="A9" s="369"/>
      <c r="B9" s="369"/>
      <c r="C9" s="369"/>
      <c r="D9" s="369"/>
      <c r="E9" s="375"/>
      <c r="F9" s="369"/>
      <c r="G9" s="369"/>
      <c r="H9" s="369"/>
      <c r="I9" s="369"/>
      <c r="J9" s="369"/>
      <c r="AD9" s="352"/>
      <c r="AE9" s="373"/>
      <c r="AF9" s="352"/>
      <c r="AJ9" s="105"/>
      <c r="AK9" s="105"/>
      <c r="AN9" s="185"/>
      <c r="AU9" s="352"/>
    </row>
    <row r="10" spans="1:47" ht="27" x14ac:dyDescent="0.4">
      <c r="A10" s="359"/>
      <c r="B10" s="359"/>
      <c r="C10" s="360"/>
      <c r="D10" s="361"/>
      <c r="E10" s="361"/>
      <c r="F10" s="361"/>
      <c r="G10" s="361"/>
      <c r="H10" s="361"/>
      <c r="I10" s="361"/>
      <c r="J10" s="361"/>
      <c r="AD10" s="352"/>
      <c r="AE10" s="373"/>
      <c r="AF10" s="352"/>
      <c r="AJ10" s="105"/>
      <c r="AK10" s="105"/>
      <c r="AN10" s="185"/>
      <c r="AU10" s="352"/>
    </row>
    <row r="11" spans="1:47" ht="27" x14ac:dyDescent="0.4">
      <c r="A11" s="359"/>
      <c r="B11" s="359"/>
      <c r="C11" s="360"/>
      <c r="D11" s="361"/>
      <c r="E11" s="361"/>
      <c r="F11" s="361"/>
      <c r="G11" s="361"/>
      <c r="H11" s="361"/>
      <c r="I11" s="361"/>
      <c r="J11" s="361"/>
      <c r="AD11" s="143"/>
      <c r="AE11" s="377"/>
      <c r="AF11" s="166" t="s">
        <v>93</v>
      </c>
      <c r="AG11" s="166"/>
      <c r="AH11" s="166"/>
      <c r="AI11" s="166"/>
      <c r="AJ11" s="166"/>
      <c r="AK11" s="166"/>
      <c r="AL11" s="166"/>
      <c r="AM11" s="166"/>
      <c r="AN11" s="254"/>
    </row>
    <row r="12" spans="1:47" ht="27" x14ac:dyDescent="0.4">
      <c r="A12" s="359"/>
      <c r="B12" s="359"/>
      <c r="C12" s="360"/>
      <c r="D12" s="361"/>
      <c r="E12" s="361"/>
      <c r="F12" s="361"/>
      <c r="G12" s="361"/>
      <c r="H12" s="361"/>
      <c r="I12" s="361"/>
      <c r="J12" s="361"/>
      <c r="AD12" s="103"/>
      <c r="AE12" s="158" t="s">
        <v>134</v>
      </c>
      <c r="AF12" s="159" t="s">
        <v>85</v>
      </c>
      <c r="AG12" s="159"/>
      <c r="AH12" s="159"/>
      <c r="AI12" s="159"/>
      <c r="AJ12" s="159"/>
      <c r="AK12" s="159"/>
      <c r="AL12" s="159"/>
      <c r="AM12" s="159"/>
      <c r="AN12" s="160">
        <v>55</v>
      </c>
    </row>
    <row r="13" spans="1:47" ht="19.5" customHeight="1" x14ac:dyDescent="0.4">
      <c r="A13" s="359"/>
      <c r="B13" s="359"/>
      <c r="C13" s="360"/>
      <c r="D13" s="361"/>
      <c r="E13" s="361"/>
      <c r="F13" s="361"/>
      <c r="G13" s="361"/>
      <c r="H13" s="361"/>
      <c r="I13" s="361"/>
      <c r="J13" s="361"/>
      <c r="P13" s="103"/>
      <c r="Q13" s="356" t="s">
        <v>145</v>
      </c>
      <c r="R13" s="357" t="s">
        <v>184</v>
      </c>
      <c r="S13" s="357"/>
      <c r="T13" s="357"/>
      <c r="U13" s="357"/>
      <c r="V13" s="357"/>
      <c r="W13" s="357"/>
      <c r="X13" s="357"/>
      <c r="Y13" s="358">
        <v>179</v>
      </c>
      <c r="AD13" s="103"/>
      <c r="AE13" s="145" t="s">
        <v>190</v>
      </c>
      <c r="AF13" s="146" t="s">
        <v>191</v>
      </c>
      <c r="AG13" s="146"/>
      <c r="AH13" s="146"/>
      <c r="AI13" s="146"/>
      <c r="AJ13" s="146"/>
      <c r="AK13" s="146"/>
      <c r="AL13" s="146"/>
      <c r="AM13" s="146"/>
      <c r="AN13" s="147">
        <v>110</v>
      </c>
    </row>
    <row r="14" spans="1:47" s="343" customFormat="1" ht="18.75" customHeight="1" x14ac:dyDescent="0.3">
      <c r="A14" s="105"/>
      <c r="B14" s="105"/>
      <c r="C14" s="105"/>
      <c r="D14" s="105"/>
      <c r="E14" s="142"/>
      <c r="F14" s="105"/>
      <c r="G14" s="105"/>
      <c r="H14" s="105"/>
      <c r="P14" s="105"/>
      <c r="Q14" s="344"/>
      <c r="R14" s="345" t="s">
        <v>166</v>
      </c>
      <c r="S14" s="345"/>
      <c r="T14" s="345"/>
      <c r="U14" s="346"/>
      <c r="V14" s="346"/>
      <c r="W14" s="346"/>
      <c r="X14" s="346"/>
      <c r="Y14" s="347"/>
    </row>
    <row r="15" spans="1:47" ht="17.25" customHeight="1" x14ac:dyDescent="0.3">
      <c r="I15" s="348"/>
      <c r="Q15" s="349"/>
      <c r="Y15" s="276"/>
      <c r="Z15" s="144"/>
    </row>
    <row r="16" spans="1:47" ht="17.25" customHeight="1" x14ac:dyDescent="0.3">
      <c r="I16" s="348"/>
      <c r="Q16" s="350"/>
      <c r="R16" s="351"/>
      <c r="S16" s="351"/>
      <c r="T16" s="351"/>
      <c r="U16" s="351"/>
      <c r="V16" s="351"/>
      <c r="W16" s="351"/>
      <c r="X16" s="351"/>
      <c r="Y16" s="276"/>
      <c r="Z16" s="144"/>
    </row>
    <row r="17" spans="2:47" ht="17.25" customHeight="1" x14ac:dyDescent="0.3">
      <c r="Q17" s="350"/>
      <c r="R17" s="351"/>
      <c r="S17" s="351"/>
      <c r="T17" s="351"/>
      <c r="U17" s="351"/>
      <c r="V17" s="351"/>
      <c r="W17" s="351"/>
      <c r="X17" s="351"/>
      <c r="Y17" s="276"/>
      <c r="Z17" s="144"/>
      <c r="AL17" s="352"/>
      <c r="AM17" s="352"/>
    </row>
    <row r="18" spans="2:47" ht="17.25" customHeight="1" x14ac:dyDescent="0.3">
      <c r="Q18" s="350"/>
      <c r="R18" s="351"/>
      <c r="S18" s="351"/>
      <c r="T18" s="351"/>
      <c r="U18" s="351"/>
      <c r="V18" s="351"/>
      <c r="W18" s="351"/>
      <c r="X18" s="351"/>
      <c r="Y18" s="276"/>
      <c r="Z18" s="144"/>
      <c r="AJ18" s="105"/>
      <c r="AL18" s="352"/>
      <c r="AM18" s="352"/>
    </row>
    <row r="19" spans="2:47" ht="17.25" customHeight="1" x14ac:dyDescent="0.3">
      <c r="Q19" s="353"/>
      <c r="R19" s="354"/>
      <c r="S19" s="354"/>
      <c r="T19" s="354"/>
      <c r="U19" s="354"/>
      <c r="V19" s="354"/>
      <c r="W19" s="354"/>
      <c r="X19" s="354"/>
      <c r="Y19" s="191"/>
      <c r="Z19" s="144"/>
      <c r="AL19" s="352"/>
      <c r="AM19" s="352"/>
    </row>
    <row r="20" spans="2:47" ht="17.25" customHeight="1" x14ac:dyDescent="0.3">
      <c r="Q20" s="355"/>
      <c r="R20" s="351"/>
      <c r="S20" s="351"/>
      <c r="T20" s="351"/>
      <c r="U20" s="351"/>
      <c r="V20" s="351"/>
      <c r="W20" s="351"/>
      <c r="X20" s="351"/>
      <c r="AL20" s="352"/>
      <c r="AM20" s="352"/>
    </row>
    <row r="21" spans="2:47" ht="17.25" customHeight="1" x14ac:dyDescent="0.3">
      <c r="L21" s="355"/>
      <c r="M21" s="351"/>
      <c r="N21" s="351"/>
      <c r="O21" s="351"/>
      <c r="P21" s="351"/>
      <c r="Q21" s="351"/>
      <c r="R21" s="351"/>
      <c r="AL21" s="352"/>
      <c r="AM21" s="352"/>
    </row>
    <row r="22" spans="2:47" ht="17.25" customHeight="1" x14ac:dyDescent="0.3">
      <c r="L22" s="355"/>
      <c r="M22" s="351"/>
      <c r="N22" s="351"/>
      <c r="O22" s="351"/>
      <c r="P22" s="351"/>
      <c r="Q22" s="351"/>
      <c r="R22" s="351"/>
      <c r="AL22" s="352"/>
      <c r="AM22" s="352"/>
    </row>
    <row r="23" spans="2:47" ht="19.5" customHeight="1" x14ac:dyDescent="0.3">
      <c r="C23" s="143"/>
      <c r="D23" s="143"/>
      <c r="E23" s="169"/>
      <c r="G23" s="103"/>
      <c r="H23" s="222" t="s">
        <v>147</v>
      </c>
      <c r="I23" s="340" t="s">
        <v>101</v>
      </c>
      <c r="J23" s="341"/>
      <c r="L23" s="105"/>
      <c r="N23" s="143"/>
      <c r="O23" s="143"/>
      <c r="P23" s="143"/>
      <c r="Q23" s="143"/>
      <c r="R23" s="143"/>
      <c r="S23" s="143"/>
      <c r="T23" s="143"/>
      <c r="AB23" s="342"/>
      <c r="AC23" s="225" t="s">
        <v>232</v>
      </c>
      <c r="AD23" s="225"/>
      <c r="AE23" s="225"/>
      <c r="AF23" s="307"/>
      <c r="AG23" s="307"/>
      <c r="AH23" s="307"/>
      <c r="AI23" s="307"/>
      <c r="AJ23" s="341"/>
      <c r="AK23" s="105"/>
    </row>
    <row r="24" spans="2:47" ht="17.25" customHeight="1" x14ac:dyDescent="0.3">
      <c r="C24" s="143"/>
      <c r="D24" s="143"/>
      <c r="E24" s="169"/>
      <c r="G24" s="169"/>
      <c r="H24" s="338"/>
      <c r="I24" s="339" t="s">
        <v>107</v>
      </c>
      <c r="J24" s="280"/>
      <c r="L24" s="105"/>
      <c r="N24" s="143"/>
      <c r="O24" s="143"/>
      <c r="P24" s="143"/>
      <c r="Q24" s="143"/>
      <c r="R24" s="143"/>
      <c r="S24" s="143"/>
      <c r="T24" s="143"/>
      <c r="AA24" s="103"/>
      <c r="AB24" s="335" t="s">
        <v>144</v>
      </c>
      <c r="AC24" s="318" t="s">
        <v>230</v>
      </c>
      <c r="AD24" s="318"/>
      <c r="AE24" s="318"/>
      <c r="AF24" s="336"/>
      <c r="AG24" s="336"/>
      <c r="AH24" s="336"/>
      <c r="AI24" s="336"/>
      <c r="AJ24" s="337">
        <v>105</v>
      </c>
      <c r="AK24" s="105"/>
      <c r="AN24" s="334"/>
      <c r="AO24" s="334"/>
    </row>
    <row r="25" spans="2:47" ht="17.25" customHeight="1" x14ac:dyDescent="0.3">
      <c r="C25" s="143"/>
      <c r="D25" s="143"/>
      <c r="E25" s="169"/>
      <c r="F25" s="169"/>
      <c r="G25" s="265"/>
      <c r="H25" s="266"/>
      <c r="I25" s="266"/>
      <c r="J25" s="143"/>
      <c r="K25" s="143"/>
      <c r="L25" s="169"/>
      <c r="M25" s="143"/>
      <c r="N25" s="143"/>
      <c r="O25" s="143"/>
      <c r="P25" s="143"/>
      <c r="Q25" s="143"/>
      <c r="R25" s="143"/>
      <c r="S25" s="143"/>
      <c r="T25" s="143"/>
      <c r="V25" s="143"/>
      <c r="AA25" s="103"/>
      <c r="AB25" s="331" t="s">
        <v>231</v>
      </c>
      <c r="AC25" s="219" t="s">
        <v>229</v>
      </c>
      <c r="AD25" s="219"/>
      <c r="AE25" s="219"/>
      <c r="AF25" s="332"/>
      <c r="AG25" s="332"/>
      <c r="AH25" s="332"/>
      <c r="AI25" s="332"/>
      <c r="AJ25" s="333">
        <v>235</v>
      </c>
      <c r="AK25" s="105"/>
      <c r="AN25" s="334"/>
      <c r="AO25" s="334"/>
    </row>
    <row r="26" spans="2:47" ht="17.25" customHeight="1" x14ac:dyDescent="0.3">
      <c r="C26" s="143"/>
      <c r="D26" s="143"/>
      <c r="E26" s="169"/>
      <c r="F26" s="169"/>
      <c r="G26" s="265"/>
      <c r="H26" s="266"/>
      <c r="I26" s="266"/>
      <c r="J26" s="143"/>
      <c r="K26" s="143"/>
      <c r="L26" s="169"/>
      <c r="M26" s="143"/>
      <c r="N26" s="143"/>
      <c r="O26" s="143"/>
      <c r="P26" s="143"/>
      <c r="Q26" s="143"/>
      <c r="R26" s="143"/>
      <c r="S26" s="143"/>
      <c r="T26" s="143"/>
      <c r="V26" s="143"/>
      <c r="AA26" s="169"/>
      <c r="AB26" s="184"/>
      <c r="AC26" s="144"/>
      <c r="AD26" s="144"/>
      <c r="AE26" s="144"/>
      <c r="AF26" s="178"/>
      <c r="AG26" s="178"/>
      <c r="AH26" s="144"/>
      <c r="AI26" s="144"/>
      <c r="AJ26" s="276"/>
      <c r="AK26" s="105"/>
      <c r="AN26" s="143"/>
      <c r="AO26" s="143"/>
      <c r="AU26" s="352"/>
    </row>
    <row r="27" spans="2:47" ht="17.25" customHeight="1" x14ac:dyDescent="0.3">
      <c r="C27" s="143"/>
      <c r="D27" s="143"/>
      <c r="E27" s="169"/>
      <c r="F27" s="169"/>
      <c r="G27" s="265"/>
      <c r="H27" s="266"/>
      <c r="I27" s="266"/>
      <c r="J27" s="143"/>
      <c r="K27" s="143"/>
      <c r="L27" s="169"/>
      <c r="M27" s="143"/>
      <c r="N27" s="143"/>
      <c r="O27" s="143"/>
      <c r="P27" s="143"/>
      <c r="Q27" s="143"/>
      <c r="R27" s="143"/>
      <c r="S27" s="143"/>
      <c r="T27" s="143"/>
      <c r="V27" s="143"/>
      <c r="AA27" s="169"/>
      <c r="AB27" s="184"/>
      <c r="AC27" s="144"/>
      <c r="AD27" s="144"/>
      <c r="AE27" s="144"/>
      <c r="AF27" s="178"/>
      <c r="AG27" s="178"/>
      <c r="AH27" s="144"/>
      <c r="AI27" s="144"/>
      <c r="AJ27" s="276"/>
      <c r="AK27" s="105"/>
      <c r="AU27" s="352"/>
    </row>
    <row r="28" spans="2:47" ht="18.75" x14ac:dyDescent="0.3">
      <c r="C28" s="143"/>
      <c r="D28" s="143"/>
      <c r="E28" s="169"/>
      <c r="F28" s="143"/>
      <c r="G28" s="143"/>
      <c r="H28" s="143"/>
      <c r="I28" s="143"/>
      <c r="J28" s="143"/>
      <c r="K28" s="143"/>
      <c r="L28" s="330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B28" s="184"/>
      <c r="AC28" s="144"/>
      <c r="AD28" s="144"/>
      <c r="AE28" s="144"/>
      <c r="AF28" s="178"/>
      <c r="AG28" s="178"/>
      <c r="AH28" s="144"/>
      <c r="AI28" s="144"/>
      <c r="AJ28" s="276"/>
      <c r="AK28" s="105"/>
    </row>
    <row r="29" spans="2:47" ht="18.75" x14ac:dyDescent="0.3">
      <c r="C29" s="143"/>
      <c r="D29" s="143"/>
      <c r="E29" s="169"/>
      <c r="F29" s="143"/>
      <c r="G29" s="143"/>
      <c r="H29" s="143"/>
      <c r="I29" s="143"/>
      <c r="J29" s="143"/>
      <c r="K29" s="143"/>
      <c r="L29" s="330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B29" s="184"/>
      <c r="AC29" s="144"/>
      <c r="AD29" s="144"/>
      <c r="AE29" s="144"/>
      <c r="AF29" s="144"/>
      <c r="AG29" s="144"/>
      <c r="AH29" s="144"/>
      <c r="AI29" s="144"/>
      <c r="AJ29" s="185"/>
      <c r="AK29" s="105"/>
    </row>
    <row r="30" spans="2:47" ht="18.75" x14ac:dyDescent="0.3">
      <c r="C30" s="143"/>
      <c r="D30" s="143"/>
      <c r="E30" s="169"/>
      <c r="F30" s="143"/>
      <c r="G30" s="143"/>
      <c r="H30" s="143"/>
      <c r="I30" s="143"/>
      <c r="J30" s="143"/>
      <c r="K30" s="143"/>
      <c r="L30" s="330"/>
      <c r="M30" s="143"/>
      <c r="N30" s="143"/>
      <c r="O30" s="143"/>
      <c r="P30" s="143"/>
      <c r="Q30" s="143"/>
      <c r="R30" s="143"/>
      <c r="S30" s="143"/>
      <c r="T30" s="144"/>
      <c r="U30" s="143"/>
      <c r="V30" s="143"/>
      <c r="W30" s="143"/>
      <c r="X30" s="143"/>
      <c r="Y30" s="143"/>
      <c r="Z30" s="143"/>
      <c r="AB30" s="184"/>
      <c r="AC30" s="144"/>
      <c r="AD30" s="144"/>
      <c r="AE30" s="144"/>
      <c r="AF30" s="144"/>
      <c r="AG30" s="144"/>
      <c r="AH30" s="144"/>
      <c r="AI30" s="144"/>
      <c r="AJ30" s="185"/>
      <c r="AK30" s="105"/>
    </row>
    <row r="31" spans="2:47" ht="19.5" x14ac:dyDescent="0.3">
      <c r="B31" s="103"/>
      <c r="C31" s="222" t="s">
        <v>145</v>
      </c>
      <c r="D31" s="225" t="s">
        <v>171</v>
      </c>
      <c r="E31" s="226"/>
      <c r="F31" s="307"/>
      <c r="G31" s="307"/>
      <c r="H31" s="307"/>
      <c r="I31" s="329"/>
      <c r="J31" s="300"/>
      <c r="K31" s="103"/>
      <c r="L31" s="222" t="s">
        <v>146</v>
      </c>
      <c r="M31" s="225" t="s">
        <v>172</v>
      </c>
      <c r="N31" s="223"/>
      <c r="O31" s="223"/>
      <c r="P31" s="223"/>
      <c r="Q31" s="223"/>
      <c r="R31" s="223"/>
      <c r="S31" s="326">
        <v>20</v>
      </c>
      <c r="T31" s="327"/>
      <c r="U31" s="143"/>
      <c r="V31" s="143"/>
      <c r="W31" s="143"/>
      <c r="X31" s="143"/>
      <c r="Y31" s="143"/>
      <c r="Z31" s="143"/>
      <c r="AB31" s="189"/>
      <c r="AC31" s="190"/>
      <c r="AD31" s="190"/>
      <c r="AE31" s="190"/>
      <c r="AF31" s="190"/>
      <c r="AG31" s="190"/>
      <c r="AH31" s="190"/>
      <c r="AI31" s="190"/>
      <c r="AJ31" s="328"/>
      <c r="AK31" s="105"/>
    </row>
    <row r="32" spans="2:47" ht="19.5" x14ac:dyDescent="0.3">
      <c r="B32" s="143"/>
      <c r="C32" s="296"/>
      <c r="D32" s="207" t="s">
        <v>89</v>
      </c>
      <c r="E32" s="208" t="s">
        <v>90</v>
      </c>
      <c r="F32" s="207"/>
      <c r="G32" s="207"/>
      <c r="H32" s="207"/>
      <c r="I32" s="305"/>
      <c r="J32" s="317"/>
      <c r="K32" s="143"/>
      <c r="L32" s="296"/>
      <c r="M32" s="318" t="s">
        <v>106</v>
      </c>
      <c r="N32" s="318"/>
      <c r="O32" s="319"/>
      <c r="P32" s="319"/>
      <c r="Q32" s="319"/>
      <c r="R32" s="319"/>
      <c r="S32" s="320"/>
      <c r="T32" s="321"/>
      <c r="U32" s="143"/>
      <c r="V32" s="143"/>
      <c r="W32" s="143"/>
      <c r="X32" s="143"/>
      <c r="Y32" s="143"/>
      <c r="Z32" s="143"/>
      <c r="AA32" s="169"/>
      <c r="AB32" s="322"/>
      <c r="AC32" s="323" t="s">
        <v>93</v>
      </c>
      <c r="AD32" s="323"/>
      <c r="AE32" s="323"/>
      <c r="AF32" s="323"/>
      <c r="AG32" s="323"/>
      <c r="AH32" s="323"/>
      <c r="AI32" s="324"/>
      <c r="AJ32" s="325"/>
      <c r="AK32" s="105"/>
    </row>
    <row r="33" spans="2:40" ht="17.25" customHeight="1" x14ac:dyDescent="0.3">
      <c r="B33" s="143"/>
      <c r="C33" s="296"/>
      <c r="D33" s="207"/>
      <c r="E33" s="208" t="s">
        <v>91</v>
      </c>
      <c r="F33" s="207"/>
      <c r="G33" s="207"/>
      <c r="H33" s="207"/>
      <c r="I33" s="305"/>
      <c r="J33" s="300"/>
      <c r="K33" s="143"/>
      <c r="L33" s="218"/>
      <c r="M33" s="219" t="s">
        <v>131</v>
      </c>
      <c r="N33" s="219"/>
      <c r="O33" s="316"/>
      <c r="P33" s="316"/>
      <c r="Q33" s="316"/>
      <c r="R33" s="316"/>
      <c r="S33" s="220"/>
      <c r="T33" s="221"/>
      <c r="U33" s="143"/>
      <c r="V33" s="143"/>
      <c r="W33" s="143"/>
      <c r="X33" s="143"/>
      <c r="Y33" s="143"/>
      <c r="Z33" s="143"/>
      <c r="AA33" s="103"/>
      <c r="AB33" s="158" t="s">
        <v>137</v>
      </c>
      <c r="AC33" s="314" t="s">
        <v>159</v>
      </c>
      <c r="AD33" s="314"/>
      <c r="AE33" s="314"/>
      <c r="AF33" s="314"/>
      <c r="AG33" s="314"/>
      <c r="AH33" s="314"/>
      <c r="AI33" s="314"/>
      <c r="AJ33" s="315">
        <v>95</v>
      </c>
    </row>
    <row r="34" spans="2:40" ht="17.25" customHeight="1" x14ac:dyDescent="0.3">
      <c r="B34" s="143"/>
      <c r="C34" s="296"/>
      <c r="D34" s="207"/>
      <c r="E34" s="208" t="s">
        <v>92</v>
      </c>
      <c r="F34" s="207"/>
      <c r="G34" s="207"/>
      <c r="H34" s="207"/>
      <c r="I34" s="305"/>
      <c r="J34" s="300"/>
      <c r="L34" s="310"/>
      <c r="M34" s="213"/>
      <c r="N34" s="213"/>
      <c r="O34" s="213"/>
      <c r="P34" s="213"/>
      <c r="Q34" s="213"/>
      <c r="R34" s="213"/>
      <c r="S34" s="213"/>
      <c r="T34" s="311"/>
      <c r="U34" s="143"/>
      <c r="V34" s="143"/>
      <c r="W34" s="143"/>
      <c r="X34" s="143"/>
      <c r="Y34" s="143"/>
      <c r="Z34" s="143"/>
      <c r="AA34" s="169"/>
      <c r="AB34" s="242"/>
      <c r="AC34" s="146" t="s">
        <v>208</v>
      </c>
      <c r="AD34" s="146"/>
      <c r="AE34" s="146"/>
      <c r="AF34" s="146"/>
      <c r="AG34" s="146"/>
      <c r="AH34" s="146"/>
      <c r="AI34" s="146"/>
      <c r="AJ34" s="243"/>
    </row>
    <row r="35" spans="2:40" ht="17.25" customHeight="1" x14ac:dyDescent="0.3">
      <c r="B35" s="143"/>
      <c r="C35" s="165"/>
      <c r="D35" s="166" t="s">
        <v>93</v>
      </c>
      <c r="E35" s="167"/>
      <c r="F35" s="312"/>
      <c r="G35" s="312"/>
      <c r="H35" s="312"/>
      <c r="I35" s="313"/>
      <c r="J35" s="300"/>
      <c r="K35" s="143"/>
      <c r="L35" s="199"/>
      <c r="M35" s="182"/>
      <c r="N35" s="182"/>
      <c r="O35" s="308"/>
      <c r="P35" s="308"/>
      <c r="Q35" s="308"/>
      <c r="R35" s="308"/>
      <c r="S35" s="200"/>
      <c r="T35" s="201"/>
      <c r="U35" s="143"/>
      <c r="V35" s="143"/>
      <c r="W35" s="143"/>
      <c r="X35" s="143"/>
      <c r="Y35" s="143"/>
      <c r="Z35" s="143"/>
    </row>
    <row r="36" spans="2:40" ht="19.5" x14ac:dyDescent="0.3">
      <c r="B36" s="103"/>
      <c r="C36" s="145" t="s">
        <v>134</v>
      </c>
      <c r="D36" s="146" t="s">
        <v>85</v>
      </c>
      <c r="E36" s="156"/>
      <c r="F36" s="146"/>
      <c r="G36" s="146"/>
      <c r="H36" s="146"/>
      <c r="I36" s="157">
        <v>55</v>
      </c>
      <c r="J36" s="300"/>
      <c r="K36" s="143"/>
      <c r="L36" s="199"/>
      <c r="M36" s="182"/>
      <c r="N36" s="182"/>
      <c r="O36" s="308"/>
      <c r="P36" s="308"/>
      <c r="Q36" s="308"/>
      <c r="R36" s="308"/>
      <c r="S36" s="200"/>
      <c r="T36" s="201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</row>
    <row r="37" spans="2:40" ht="18.75" x14ac:dyDescent="0.3">
      <c r="J37" s="300"/>
      <c r="K37" s="143"/>
      <c r="L37" s="199"/>
      <c r="M37" s="182"/>
      <c r="N37" s="182"/>
      <c r="O37" s="308"/>
      <c r="P37" s="308"/>
      <c r="Q37" s="308"/>
      <c r="R37" s="308"/>
      <c r="S37" s="200"/>
      <c r="T37" s="201"/>
      <c r="U37" s="143"/>
      <c r="AJ37" s="105"/>
      <c r="AK37" s="105"/>
    </row>
    <row r="38" spans="2:40" ht="18.75" x14ac:dyDescent="0.3">
      <c r="J38" s="300"/>
      <c r="L38" s="309"/>
      <c r="M38" s="190"/>
      <c r="N38" s="190"/>
      <c r="O38" s="190"/>
      <c r="P38" s="190"/>
      <c r="Q38" s="190"/>
      <c r="R38" s="190"/>
      <c r="S38" s="190"/>
      <c r="T38" s="191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69"/>
    </row>
    <row r="39" spans="2:40" ht="19.5" x14ac:dyDescent="0.3">
      <c r="J39" s="300"/>
      <c r="K39" s="143"/>
      <c r="L39" s="165"/>
      <c r="M39" s="166" t="s">
        <v>93</v>
      </c>
      <c r="N39" s="166"/>
      <c r="O39" s="166"/>
      <c r="P39" s="166"/>
      <c r="Q39" s="166"/>
      <c r="R39" s="166"/>
      <c r="S39" s="167"/>
      <c r="T39" s="168"/>
      <c r="U39" s="143"/>
      <c r="V39" s="103"/>
      <c r="W39" s="222" t="s">
        <v>143</v>
      </c>
      <c r="X39" s="223" t="s">
        <v>160</v>
      </c>
      <c r="Y39" s="223"/>
      <c r="Z39" s="223"/>
      <c r="AA39" s="307"/>
      <c r="AB39" s="307"/>
      <c r="AC39" s="307"/>
      <c r="AD39" s="307"/>
      <c r="AE39" s="307"/>
      <c r="AF39" s="224">
        <v>105</v>
      </c>
      <c r="AG39" s="143"/>
      <c r="AH39" s="103"/>
      <c r="AI39" s="222" t="s">
        <v>239</v>
      </c>
      <c r="AJ39" s="223" t="s">
        <v>132</v>
      </c>
      <c r="AK39" s="223"/>
      <c r="AL39" s="223"/>
      <c r="AM39" s="223"/>
      <c r="AN39" s="306">
        <v>20</v>
      </c>
    </row>
    <row r="40" spans="2:40" ht="19.5" x14ac:dyDescent="0.3">
      <c r="C40" s="143"/>
      <c r="D40" s="143"/>
      <c r="E40" s="169"/>
      <c r="F40" s="143"/>
      <c r="G40" s="143"/>
      <c r="H40" s="143"/>
      <c r="I40" s="143"/>
      <c r="J40" s="300"/>
      <c r="K40" s="103"/>
      <c r="L40" s="158" t="s">
        <v>134</v>
      </c>
      <c r="M40" s="159" t="s">
        <v>85</v>
      </c>
      <c r="N40" s="159"/>
      <c r="O40" s="159"/>
      <c r="P40" s="159"/>
      <c r="Q40" s="159"/>
      <c r="R40" s="159"/>
      <c r="S40" s="301">
        <v>55</v>
      </c>
      <c r="T40" s="302"/>
      <c r="U40" s="143"/>
      <c r="V40" s="278"/>
      <c r="W40" s="296"/>
      <c r="X40" s="208" t="s">
        <v>108</v>
      </c>
      <c r="Y40" s="207"/>
      <c r="Z40" s="207"/>
      <c r="AA40" s="207"/>
      <c r="AB40" s="207"/>
      <c r="AC40" s="207"/>
      <c r="AD40" s="207"/>
      <c r="AE40" s="207"/>
      <c r="AF40" s="209"/>
      <c r="AG40" s="143"/>
      <c r="AH40" s="143"/>
      <c r="AI40" s="303"/>
      <c r="AJ40" s="207" t="s">
        <v>233</v>
      </c>
      <c r="AK40" s="304"/>
      <c r="AL40" s="304"/>
      <c r="AM40" s="304"/>
      <c r="AN40" s="305"/>
    </row>
    <row r="41" spans="2:40" ht="19.5" x14ac:dyDescent="0.3">
      <c r="C41" s="143"/>
      <c r="D41" s="143"/>
      <c r="E41" s="169"/>
      <c r="F41" s="143"/>
      <c r="G41" s="143"/>
      <c r="H41" s="143"/>
      <c r="I41" s="143"/>
      <c r="J41" s="300"/>
      <c r="K41" s="103"/>
      <c r="L41" s="145" t="s">
        <v>190</v>
      </c>
      <c r="M41" s="146" t="s">
        <v>191</v>
      </c>
      <c r="N41" s="146"/>
      <c r="O41" s="146"/>
      <c r="P41" s="146"/>
      <c r="Q41" s="146"/>
      <c r="R41" s="146"/>
      <c r="S41" s="294">
        <v>110</v>
      </c>
      <c r="T41" s="295"/>
      <c r="U41" s="143"/>
      <c r="V41" s="278"/>
      <c r="W41" s="296"/>
      <c r="X41" s="207" t="s">
        <v>169</v>
      </c>
      <c r="Y41" s="208"/>
      <c r="Z41" s="208"/>
      <c r="AA41" s="207"/>
      <c r="AB41" s="207"/>
      <c r="AC41" s="207"/>
      <c r="AD41" s="207"/>
      <c r="AE41" s="207"/>
      <c r="AF41" s="209"/>
      <c r="AG41" s="143"/>
      <c r="AH41" s="143"/>
      <c r="AI41" s="297"/>
      <c r="AJ41" s="211"/>
      <c r="AK41" s="298"/>
      <c r="AL41" s="298"/>
      <c r="AM41" s="298"/>
      <c r="AN41" s="299"/>
    </row>
    <row r="42" spans="2:40" ht="19.5" thickBot="1" x14ac:dyDescent="0.35">
      <c r="T42" s="144"/>
      <c r="U42" s="143"/>
      <c r="V42" s="278"/>
      <c r="W42" s="218"/>
      <c r="X42" s="219" t="s">
        <v>168</v>
      </c>
      <c r="Y42" s="279"/>
      <c r="Z42" s="279"/>
      <c r="AA42" s="219"/>
      <c r="AB42" s="219"/>
      <c r="AC42" s="219"/>
      <c r="AD42" s="219"/>
      <c r="AE42" s="219"/>
      <c r="AF42" s="280"/>
      <c r="AG42" s="143"/>
      <c r="AH42" s="143"/>
      <c r="AI42" s="264"/>
      <c r="AJ42" s="266"/>
      <c r="AK42" s="281"/>
      <c r="AL42" s="281"/>
      <c r="AM42" s="281"/>
      <c r="AN42" s="282"/>
    </row>
    <row r="43" spans="2:40" ht="18.75" x14ac:dyDescent="0.3">
      <c r="B43" s="283"/>
      <c r="C43" s="284"/>
      <c r="D43" s="284"/>
      <c r="E43" s="285"/>
      <c r="F43" s="284"/>
      <c r="G43" s="284"/>
      <c r="H43" s="284"/>
      <c r="I43" s="284"/>
      <c r="J43" s="284"/>
      <c r="K43" s="284"/>
      <c r="L43" s="285"/>
      <c r="M43" s="284"/>
      <c r="N43" s="284"/>
      <c r="O43" s="284"/>
      <c r="P43" s="284"/>
      <c r="Q43" s="284"/>
      <c r="R43" s="284"/>
      <c r="S43" s="284"/>
      <c r="T43" s="286"/>
      <c r="U43" s="143"/>
      <c r="V43" s="278"/>
      <c r="W43" s="287"/>
      <c r="X43" s="212"/>
      <c r="Y43" s="212"/>
      <c r="Z43" s="212"/>
      <c r="AA43" s="203"/>
      <c r="AB43" s="203"/>
      <c r="AC43" s="203"/>
      <c r="AD43" s="203"/>
      <c r="AE43" s="203"/>
      <c r="AF43" s="288"/>
      <c r="AG43" s="143"/>
      <c r="AH43" s="143"/>
      <c r="AI43" s="264"/>
      <c r="AJ43" s="266"/>
      <c r="AK43" s="281"/>
      <c r="AL43" s="281"/>
      <c r="AM43" s="281"/>
      <c r="AN43" s="282"/>
    </row>
    <row r="44" spans="2:40" ht="26.25" x14ac:dyDescent="0.4">
      <c r="B44" s="106"/>
      <c r="C44" s="186" t="s">
        <v>198</v>
      </c>
      <c r="D44" s="289"/>
      <c r="E44" s="290"/>
      <c r="F44" s="289"/>
      <c r="G44" s="289"/>
      <c r="H44" s="289"/>
      <c r="I44" s="289"/>
      <c r="J44" s="289"/>
      <c r="K44" s="289"/>
      <c r="L44" s="291"/>
      <c r="M44" s="236"/>
      <c r="N44" s="115"/>
      <c r="O44" s="114"/>
      <c r="P44" s="186" t="s">
        <v>129</v>
      </c>
      <c r="Q44" s="187"/>
      <c r="R44" s="187"/>
      <c r="S44" s="188"/>
      <c r="T44" s="148"/>
      <c r="U44" s="143"/>
      <c r="V44" s="278"/>
      <c r="W44" s="292"/>
      <c r="X44" s="169"/>
      <c r="Y44" s="263" t="s">
        <v>128</v>
      </c>
      <c r="Z44" s="263"/>
      <c r="AA44" s="143"/>
      <c r="AB44" s="143"/>
      <c r="AC44" s="143"/>
      <c r="AD44" s="143"/>
      <c r="AE44" s="143"/>
      <c r="AF44" s="277"/>
      <c r="AG44" s="143"/>
      <c r="AH44" s="143"/>
      <c r="AI44" s="195"/>
      <c r="AJ44" s="143"/>
      <c r="AK44" s="143"/>
      <c r="AL44" s="143"/>
      <c r="AM44" s="143"/>
      <c r="AN44" s="293"/>
    </row>
    <row r="45" spans="2:40" ht="19.5" x14ac:dyDescent="0.3">
      <c r="B45" s="106"/>
      <c r="C45" s="255" t="s">
        <v>87</v>
      </c>
      <c r="D45" s="256" t="s">
        <v>202</v>
      </c>
      <c r="E45" s="257" t="s">
        <v>203</v>
      </c>
      <c r="F45" s="257"/>
      <c r="G45" s="257"/>
      <c r="H45" s="257"/>
      <c r="I45" s="257"/>
      <c r="J45" s="257"/>
      <c r="K45" s="257"/>
      <c r="L45" s="258"/>
      <c r="M45" s="259"/>
      <c r="N45" s="115"/>
      <c r="O45" s="103"/>
      <c r="P45" s="273" t="s">
        <v>140</v>
      </c>
      <c r="Q45" s="274" t="s">
        <v>117</v>
      </c>
      <c r="R45" s="274"/>
      <c r="S45" s="275"/>
      <c r="T45" s="148"/>
      <c r="U45" s="143"/>
      <c r="W45" s="184"/>
      <c r="X45" s="142"/>
      <c r="Y45" s="142"/>
      <c r="Z45" s="142"/>
      <c r="AF45" s="276"/>
      <c r="AG45" s="143"/>
      <c r="AH45" s="143"/>
      <c r="AI45" s="195"/>
      <c r="AJ45" s="143"/>
      <c r="AK45" s="143"/>
      <c r="AL45" s="143"/>
      <c r="AM45" s="143"/>
      <c r="AN45" s="277"/>
    </row>
    <row r="46" spans="2:40" ht="19.5" x14ac:dyDescent="0.3">
      <c r="B46" s="106"/>
      <c r="C46" s="247"/>
      <c r="D46" s="159" t="s">
        <v>200</v>
      </c>
      <c r="E46" s="248" t="s">
        <v>220</v>
      </c>
      <c r="F46" s="159"/>
      <c r="G46" s="159"/>
      <c r="H46" s="159"/>
      <c r="I46" s="159"/>
      <c r="J46" s="159"/>
      <c r="K46" s="159"/>
      <c r="L46" s="249"/>
      <c r="M46" s="250"/>
      <c r="N46" s="115"/>
      <c r="O46" s="103"/>
      <c r="P46" s="267" t="s">
        <v>119</v>
      </c>
      <c r="Q46" s="268" t="s">
        <v>118</v>
      </c>
      <c r="R46" s="268"/>
      <c r="S46" s="269"/>
      <c r="T46" s="148"/>
      <c r="U46" s="143"/>
      <c r="V46" s="143"/>
      <c r="W46" s="264"/>
      <c r="X46" s="265"/>
      <c r="Y46" s="265"/>
      <c r="Z46" s="265"/>
      <c r="AA46" s="266"/>
      <c r="AB46" s="266"/>
      <c r="AC46" s="266"/>
      <c r="AD46" s="266"/>
      <c r="AE46" s="266"/>
      <c r="AF46" s="183"/>
      <c r="AH46" s="143"/>
      <c r="AI46" s="270"/>
      <c r="AJ46" s="271"/>
      <c r="AK46" s="271"/>
      <c r="AL46" s="271"/>
      <c r="AM46" s="271"/>
      <c r="AN46" s="272"/>
    </row>
    <row r="47" spans="2:40" ht="19.5" x14ac:dyDescent="0.3">
      <c r="B47" s="106"/>
      <c r="C47" s="242"/>
      <c r="D47" s="146"/>
      <c r="E47" s="146" t="s">
        <v>205</v>
      </c>
      <c r="F47" s="146"/>
      <c r="G47" s="146"/>
      <c r="H47" s="146"/>
      <c r="I47" s="146"/>
      <c r="J47" s="146"/>
      <c r="K47" s="146"/>
      <c r="L47" s="146"/>
      <c r="M47" s="243"/>
      <c r="N47" s="115"/>
      <c r="O47" s="103"/>
      <c r="P47" s="260" t="s">
        <v>120</v>
      </c>
      <c r="Q47" s="261" t="s">
        <v>82</v>
      </c>
      <c r="R47" s="261"/>
      <c r="S47" s="262" t="s">
        <v>116</v>
      </c>
      <c r="T47" s="148"/>
      <c r="U47" s="263"/>
      <c r="V47" s="143"/>
      <c r="W47" s="264"/>
      <c r="X47" s="265"/>
      <c r="Y47" s="265"/>
      <c r="Z47" s="265"/>
      <c r="AA47" s="266"/>
      <c r="AB47" s="266"/>
      <c r="AC47" s="266"/>
      <c r="AD47" s="266"/>
      <c r="AE47" s="266"/>
      <c r="AF47" s="183"/>
    </row>
    <row r="48" spans="2:40" ht="19.5" x14ac:dyDescent="0.3">
      <c r="B48" s="106"/>
      <c r="C48" s="255" t="s">
        <v>94</v>
      </c>
      <c r="D48" s="256" t="s">
        <v>202</v>
      </c>
      <c r="E48" s="257" t="s">
        <v>203</v>
      </c>
      <c r="F48" s="257"/>
      <c r="G48" s="257"/>
      <c r="H48" s="257"/>
      <c r="I48" s="257"/>
      <c r="J48" s="257"/>
      <c r="K48" s="257"/>
      <c r="L48" s="258"/>
      <c r="M48" s="259"/>
      <c r="N48" s="115"/>
      <c r="O48" s="103"/>
      <c r="P48" s="251" t="s">
        <v>121</v>
      </c>
      <c r="Q48" s="252" t="s">
        <v>123</v>
      </c>
      <c r="R48" s="252"/>
      <c r="S48" s="253"/>
      <c r="T48" s="148"/>
      <c r="U48" s="143"/>
      <c r="V48" s="143"/>
      <c r="W48" s="165"/>
      <c r="X48" s="166" t="s">
        <v>93</v>
      </c>
      <c r="Y48" s="166"/>
      <c r="Z48" s="166"/>
      <c r="AA48" s="167"/>
      <c r="AB48" s="167"/>
      <c r="AC48" s="167"/>
      <c r="AD48" s="167"/>
      <c r="AE48" s="167"/>
      <c r="AF48" s="254"/>
    </row>
    <row r="49" spans="2:40" ht="17.25" customHeight="1" x14ac:dyDescent="0.3">
      <c r="B49" s="106"/>
      <c r="C49" s="247"/>
      <c r="D49" s="159" t="s">
        <v>201</v>
      </c>
      <c r="E49" s="248" t="s">
        <v>204</v>
      </c>
      <c r="F49" s="159"/>
      <c r="G49" s="159"/>
      <c r="H49" s="159"/>
      <c r="I49" s="159"/>
      <c r="J49" s="159"/>
      <c r="K49" s="159"/>
      <c r="L49" s="249"/>
      <c r="M49" s="250"/>
      <c r="N49" s="115"/>
      <c r="O49" s="103"/>
      <c r="P49" s="244" t="s">
        <v>127</v>
      </c>
      <c r="Q49" s="245" t="s">
        <v>84</v>
      </c>
      <c r="R49" s="245"/>
      <c r="S49" s="246"/>
      <c r="T49" s="148"/>
      <c r="U49" s="143"/>
      <c r="V49" s="103"/>
      <c r="W49" s="158" t="s">
        <v>138</v>
      </c>
      <c r="X49" s="159" t="s">
        <v>158</v>
      </c>
      <c r="Y49" s="159"/>
      <c r="Z49" s="159"/>
      <c r="AA49" s="159"/>
      <c r="AB49" s="159"/>
      <c r="AC49" s="159"/>
      <c r="AD49" s="159"/>
      <c r="AE49" s="159"/>
      <c r="AF49" s="160">
        <v>90</v>
      </c>
    </row>
    <row r="50" spans="2:40" ht="17.25" customHeight="1" x14ac:dyDescent="0.3">
      <c r="B50" s="106"/>
      <c r="C50" s="242"/>
      <c r="D50" s="146"/>
      <c r="E50" s="146" t="s">
        <v>212</v>
      </c>
      <c r="F50" s="146"/>
      <c r="G50" s="146"/>
      <c r="H50" s="146"/>
      <c r="I50" s="146"/>
      <c r="J50" s="146"/>
      <c r="K50" s="146"/>
      <c r="L50" s="146"/>
      <c r="M50" s="243"/>
      <c r="N50" s="115"/>
      <c r="O50" s="115"/>
      <c r="P50" s="115"/>
      <c r="Q50" s="115"/>
      <c r="R50" s="115"/>
      <c r="S50" s="115"/>
      <c r="T50" s="148"/>
      <c r="U50" s="143"/>
      <c r="V50" s="103"/>
      <c r="W50" s="145" t="s">
        <v>139</v>
      </c>
      <c r="X50" s="146" t="s">
        <v>86</v>
      </c>
      <c r="Y50" s="146"/>
      <c r="Z50" s="146"/>
      <c r="AA50" s="146"/>
      <c r="AB50" s="146"/>
      <c r="AC50" s="146"/>
      <c r="AD50" s="146"/>
      <c r="AE50" s="146"/>
      <c r="AF50" s="147">
        <v>65</v>
      </c>
    </row>
    <row r="51" spans="2:40" ht="21" customHeight="1" x14ac:dyDescent="0.3">
      <c r="B51" s="106"/>
      <c r="C51" s="115" t="s">
        <v>236</v>
      </c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48"/>
      <c r="U51" s="143"/>
      <c r="AJ51" s="105"/>
      <c r="AK51" s="105"/>
    </row>
    <row r="52" spans="2:40" ht="18.75" x14ac:dyDescent="0.3">
      <c r="B52" s="106"/>
      <c r="C52" s="115" t="s">
        <v>235</v>
      </c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48"/>
      <c r="U52" s="143"/>
    </row>
    <row r="53" spans="2:40" ht="28.5" customHeight="1" x14ac:dyDescent="0.4">
      <c r="B53" s="106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4"/>
      <c r="P53" s="186" t="s">
        <v>151</v>
      </c>
      <c r="Q53" s="187"/>
      <c r="R53" s="187"/>
      <c r="S53" s="188"/>
      <c r="T53" s="148"/>
      <c r="U53" s="143"/>
    </row>
    <row r="54" spans="2:40" ht="21" customHeight="1" x14ac:dyDescent="0.3">
      <c r="B54" s="106"/>
      <c r="C54" s="115" t="s">
        <v>213</v>
      </c>
      <c r="D54" s="115"/>
      <c r="E54" s="241"/>
      <c r="F54" s="115"/>
      <c r="G54" s="115"/>
      <c r="H54" s="115"/>
      <c r="I54" s="115"/>
      <c r="J54" s="115"/>
      <c r="K54" s="115"/>
      <c r="L54" s="241"/>
      <c r="M54" s="115"/>
      <c r="N54" s="115"/>
      <c r="O54" s="104"/>
      <c r="P54" s="192" t="s">
        <v>178</v>
      </c>
      <c r="Q54" s="193"/>
      <c r="R54" s="192"/>
      <c r="S54" s="194">
        <v>35</v>
      </c>
      <c r="T54" s="148"/>
      <c r="U54" s="143"/>
    </row>
    <row r="55" spans="2:40" ht="19.5" customHeight="1" x14ac:dyDescent="0.4">
      <c r="B55" s="106"/>
      <c r="C55" s="235" t="s">
        <v>110</v>
      </c>
      <c r="D55" s="236"/>
      <c r="E55" s="237"/>
      <c r="F55" s="238"/>
      <c r="G55" s="238"/>
      <c r="H55" s="239"/>
      <c r="I55" s="238"/>
      <c r="J55" s="238"/>
      <c r="K55" s="238"/>
      <c r="L55" s="238"/>
      <c r="M55" s="240" t="s">
        <v>167</v>
      </c>
      <c r="N55" s="114"/>
      <c r="O55" s="104"/>
      <c r="P55" s="192" t="s">
        <v>224</v>
      </c>
      <c r="Q55" s="193"/>
      <c r="R55" s="192"/>
      <c r="S55" s="194">
        <v>10</v>
      </c>
      <c r="T55" s="148"/>
      <c r="U55" s="143"/>
    </row>
    <row r="56" spans="2:40" s="170" customFormat="1" ht="19.5" customHeight="1" x14ac:dyDescent="0.4">
      <c r="B56" s="228"/>
      <c r="C56" s="229"/>
      <c r="D56" s="230"/>
      <c r="E56" s="231"/>
      <c r="F56" s="232"/>
      <c r="G56" s="232"/>
      <c r="H56" s="232"/>
      <c r="I56" s="232"/>
      <c r="J56" s="232"/>
      <c r="K56" s="232"/>
      <c r="L56" s="232"/>
      <c r="M56" s="233" t="s">
        <v>157</v>
      </c>
      <c r="N56" s="234"/>
      <c r="O56" s="104"/>
      <c r="P56" s="192" t="s">
        <v>194</v>
      </c>
      <c r="Q56" s="193"/>
      <c r="R56" s="192"/>
      <c r="S56" s="194">
        <v>65</v>
      </c>
      <c r="T56" s="148"/>
      <c r="V56" s="103"/>
      <c r="W56" s="222" t="s">
        <v>142</v>
      </c>
      <c r="X56" s="225" t="s">
        <v>227</v>
      </c>
      <c r="Y56" s="225"/>
      <c r="Z56" s="225"/>
      <c r="AA56" s="226"/>
      <c r="AB56" s="226"/>
      <c r="AC56" s="226"/>
      <c r="AD56" s="226"/>
      <c r="AE56" s="226"/>
      <c r="AF56" s="227">
        <v>25</v>
      </c>
      <c r="AG56" s="105"/>
      <c r="AH56" s="103"/>
      <c r="AI56" s="222" t="s">
        <v>141</v>
      </c>
      <c r="AJ56" s="223" t="s">
        <v>226</v>
      </c>
      <c r="AK56" s="223"/>
      <c r="AL56" s="223"/>
      <c r="AM56" s="223"/>
      <c r="AN56" s="224">
        <v>110</v>
      </c>
    </row>
    <row r="57" spans="2:40" ht="20.25" customHeight="1" x14ac:dyDescent="0.3">
      <c r="B57" s="106"/>
      <c r="C57" s="107" t="s">
        <v>104</v>
      </c>
      <c r="D57" s="108"/>
      <c r="E57" s="109"/>
      <c r="F57" s="108"/>
      <c r="G57" s="108"/>
      <c r="H57" s="108"/>
      <c r="I57" s="108"/>
      <c r="J57" s="163"/>
      <c r="K57" s="163"/>
      <c r="L57" s="163"/>
      <c r="M57" s="216"/>
      <c r="N57" s="115"/>
      <c r="O57" s="104"/>
      <c r="P57" s="192" t="s">
        <v>193</v>
      </c>
      <c r="Q57" s="193"/>
      <c r="R57" s="192"/>
      <c r="S57" s="194">
        <v>65</v>
      </c>
      <c r="T57" s="148"/>
      <c r="U57" s="143"/>
      <c r="V57" s="143"/>
      <c r="W57" s="206"/>
      <c r="X57" s="207" t="s">
        <v>196</v>
      </c>
      <c r="Y57" s="207"/>
      <c r="Z57" s="207"/>
      <c r="AA57" s="207"/>
      <c r="AB57" s="207"/>
      <c r="AC57" s="207"/>
      <c r="AD57" s="207"/>
      <c r="AE57" s="207"/>
      <c r="AF57" s="217"/>
      <c r="AH57" s="169"/>
      <c r="AI57" s="218"/>
      <c r="AJ57" s="219" t="s">
        <v>173</v>
      </c>
      <c r="AK57" s="220"/>
      <c r="AL57" s="220"/>
      <c r="AM57" s="220"/>
      <c r="AN57" s="221"/>
    </row>
    <row r="58" spans="2:40" ht="19.5" x14ac:dyDescent="0.3">
      <c r="B58" s="106"/>
      <c r="C58" s="107"/>
      <c r="D58" s="108"/>
      <c r="E58" s="109"/>
      <c r="F58" s="108"/>
      <c r="G58" s="108"/>
      <c r="H58" s="108"/>
      <c r="I58" s="108"/>
      <c r="J58" s="163"/>
      <c r="K58" s="163"/>
      <c r="L58" s="163"/>
      <c r="M58" s="216"/>
      <c r="N58" s="115"/>
      <c r="O58" s="104"/>
      <c r="P58" s="192" t="s">
        <v>225</v>
      </c>
      <c r="Q58" s="193"/>
      <c r="R58" s="192"/>
      <c r="S58" s="194">
        <v>35</v>
      </c>
      <c r="T58" s="148"/>
      <c r="U58" s="143"/>
      <c r="V58" s="143"/>
      <c r="W58" s="206"/>
      <c r="X58" s="207" t="s">
        <v>234</v>
      </c>
      <c r="Y58" s="208"/>
      <c r="Z58" s="208"/>
      <c r="AA58" s="207"/>
      <c r="AB58" s="207"/>
      <c r="AC58" s="207"/>
      <c r="AD58" s="207"/>
      <c r="AE58" s="207"/>
      <c r="AF58" s="209"/>
      <c r="AH58" s="169"/>
      <c r="AI58" s="210"/>
      <c r="AJ58" s="211"/>
      <c r="AK58" s="212"/>
      <c r="AL58" s="213"/>
      <c r="AM58" s="214"/>
      <c r="AN58" s="215"/>
    </row>
    <row r="59" spans="2:40" ht="19.5" x14ac:dyDescent="0.3">
      <c r="B59" s="106"/>
      <c r="C59" s="107"/>
      <c r="D59" s="108"/>
      <c r="E59" s="162" t="s">
        <v>94</v>
      </c>
      <c r="F59" s="108" t="s">
        <v>86</v>
      </c>
      <c r="G59" s="108"/>
      <c r="H59" s="108"/>
      <c r="I59" s="108"/>
      <c r="J59" s="108"/>
      <c r="K59" s="163"/>
      <c r="L59" s="108"/>
      <c r="M59" s="164">
        <f>AF50</f>
        <v>65</v>
      </c>
      <c r="N59" s="115"/>
      <c r="O59" s="104"/>
      <c r="P59" s="192" t="s">
        <v>195</v>
      </c>
      <c r="Q59" s="193"/>
      <c r="R59" s="192"/>
      <c r="S59" s="194">
        <v>149</v>
      </c>
      <c r="T59" s="148"/>
      <c r="V59" s="143"/>
      <c r="W59" s="202"/>
      <c r="X59" s="203"/>
      <c r="Y59" s="204"/>
      <c r="Z59" s="204"/>
      <c r="AA59" s="203"/>
      <c r="AB59" s="203"/>
      <c r="AC59" s="203"/>
      <c r="AD59" s="203"/>
      <c r="AE59" s="203"/>
      <c r="AF59" s="205"/>
      <c r="AH59" s="169"/>
      <c r="AI59" s="199"/>
      <c r="AJ59" s="182"/>
      <c r="AK59" s="178"/>
      <c r="AL59" s="144"/>
      <c r="AM59" s="200"/>
      <c r="AN59" s="201"/>
    </row>
    <row r="60" spans="2:40" ht="19.5" x14ac:dyDescent="0.3">
      <c r="B60" s="106"/>
      <c r="C60" s="107"/>
      <c r="D60" s="108"/>
      <c r="E60" s="162" t="s">
        <v>95</v>
      </c>
      <c r="F60" s="108" t="s">
        <v>88</v>
      </c>
      <c r="G60" s="108"/>
      <c r="H60" s="108"/>
      <c r="I60" s="108"/>
      <c r="J60" s="108"/>
      <c r="K60" s="163"/>
      <c r="L60" s="108"/>
      <c r="M60" s="164">
        <f>AF56</f>
        <v>25</v>
      </c>
      <c r="N60" s="115"/>
      <c r="O60" s="104"/>
      <c r="P60" s="192" t="s">
        <v>228</v>
      </c>
      <c r="Q60" s="193"/>
      <c r="R60" s="192"/>
      <c r="S60" s="194">
        <v>199</v>
      </c>
      <c r="T60" s="148"/>
      <c r="U60" s="143"/>
      <c r="V60" s="143"/>
      <c r="W60" s="195"/>
      <c r="X60" s="196"/>
      <c r="Y60" s="197"/>
      <c r="Z60" s="197"/>
      <c r="AA60" s="196"/>
      <c r="AB60" s="196"/>
      <c r="AC60" s="196"/>
      <c r="AD60" s="196"/>
      <c r="AE60" s="196"/>
      <c r="AF60" s="198"/>
      <c r="AH60" s="169"/>
      <c r="AI60" s="199"/>
      <c r="AJ60" s="182"/>
      <c r="AK60" s="178"/>
      <c r="AL60" s="144"/>
      <c r="AM60" s="200"/>
      <c r="AN60" s="201"/>
    </row>
    <row r="61" spans="2:40" ht="19.5" customHeight="1" x14ac:dyDescent="0.4">
      <c r="B61" s="106"/>
      <c r="C61" s="107"/>
      <c r="D61" s="108"/>
      <c r="E61" s="162">
        <v>4</v>
      </c>
      <c r="F61" s="108" t="s">
        <v>111</v>
      </c>
      <c r="G61" s="108"/>
      <c r="H61" s="108"/>
      <c r="I61" s="108"/>
      <c r="J61" s="108"/>
      <c r="K61" s="163"/>
      <c r="L61" s="108"/>
      <c r="M61" s="164">
        <f>AN39</f>
        <v>20</v>
      </c>
      <c r="N61" s="115"/>
      <c r="O61" s="115"/>
      <c r="P61" s="115"/>
      <c r="Q61" s="115"/>
      <c r="R61" s="115"/>
      <c r="S61" s="115"/>
      <c r="T61" s="148"/>
      <c r="U61" s="169"/>
      <c r="V61" s="170"/>
      <c r="W61" s="171"/>
      <c r="X61" s="172"/>
      <c r="Y61" s="172"/>
      <c r="Z61" s="172"/>
      <c r="AA61" s="173"/>
      <c r="AB61" s="173"/>
      <c r="AC61" s="173"/>
      <c r="AD61" s="173"/>
      <c r="AE61" s="173"/>
      <c r="AF61" s="174"/>
      <c r="AH61" s="175"/>
      <c r="AI61" s="176"/>
      <c r="AJ61" s="177"/>
      <c r="AK61" s="178"/>
      <c r="AL61" s="144"/>
      <c r="AM61" s="177"/>
      <c r="AN61" s="179"/>
    </row>
    <row r="62" spans="2:40" ht="18.75" x14ac:dyDescent="0.3">
      <c r="B62" s="106"/>
      <c r="C62" s="107"/>
      <c r="D62" s="108"/>
      <c r="E62" s="162" t="s">
        <v>102</v>
      </c>
      <c r="F62" s="108" t="s">
        <v>103</v>
      </c>
      <c r="G62" s="108"/>
      <c r="H62" s="108"/>
      <c r="I62" s="108"/>
      <c r="J62" s="108"/>
      <c r="K62" s="163"/>
      <c r="L62" s="108"/>
      <c r="M62" s="164">
        <f>AJ33</f>
        <v>95</v>
      </c>
      <c r="N62" s="115"/>
      <c r="O62" s="115"/>
      <c r="P62" s="115"/>
      <c r="Q62" s="115"/>
      <c r="R62" s="115"/>
      <c r="S62" s="115"/>
      <c r="T62" s="148"/>
      <c r="U62" s="161"/>
      <c r="V62" s="143"/>
      <c r="W62" s="180"/>
      <c r="X62" s="181"/>
      <c r="Y62" s="181"/>
      <c r="Z62" s="181"/>
      <c r="AA62" s="182"/>
      <c r="AB62" s="182"/>
      <c r="AC62" s="182"/>
      <c r="AD62" s="182"/>
      <c r="AE62" s="182"/>
      <c r="AF62" s="183"/>
      <c r="AH62" s="142"/>
      <c r="AI62" s="184"/>
      <c r="AJ62" s="144"/>
      <c r="AK62" s="178"/>
      <c r="AL62" s="144"/>
      <c r="AM62" s="144"/>
      <c r="AN62" s="185"/>
    </row>
    <row r="63" spans="2:40" ht="18.75" x14ac:dyDescent="0.3">
      <c r="B63" s="106"/>
      <c r="C63" s="107"/>
      <c r="D63" s="108"/>
      <c r="E63" s="162" t="s">
        <v>97</v>
      </c>
      <c r="F63" s="108" t="s">
        <v>112</v>
      </c>
      <c r="G63" s="108"/>
      <c r="H63" s="108"/>
      <c r="I63" s="108"/>
      <c r="J63" s="108"/>
      <c r="K63" s="163"/>
      <c r="L63" s="108"/>
      <c r="M63" s="164">
        <f>AJ23</f>
        <v>0</v>
      </c>
      <c r="N63" s="115"/>
      <c r="O63" s="115"/>
      <c r="P63" s="115"/>
      <c r="Q63" s="115"/>
      <c r="R63" s="115"/>
      <c r="S63" s="115"/>
      <c r="T63" s="148"/>
      <c r="U63" s="161"/>
      <c r="V63" s="143"/>
      <c r="W63" s="180"/>
      <c r="X63" s="181"/>
      <c r="Y63" s="181"/>
      <c r="Z63" s="181"/>
      <c r="AA63" s="182"/>
      <c r="AB63" s="182"/>
      <c r="AC63" s="182"/>
      <c r="AD63" s="182"/>
      <c r="AE63" s="182"/>
      <c r="AF63" s="183"/>
      <c r="AH63" s="142"/>
      <c r="AI63" s="184"/>
      <c r="AJ63" s="144"/>
      <c r="AK63" s="178"/>
      <c r="AL63" s="144"/>
      <c r="AM63" s="144"/>
      <c r="AN63" s="185"/>
    </row>
    <row r="64" spans="2:40" ht="26.25" x14ac:dyDescent="0.4">
      <c r="B64" s="106"/>
      <c r="C64" s="107"/>
      <c r="D64" s="108"/>
      <c r="E64" s="162">
        <v>1</v>
      </c>
      <c r="F64" s="108" t="s">
        <v>149</v>
      </c>
      <c r="G64" s="108"/>
      <c r="H64" s="108"/>
      <c r="I64" s="108"/>
      <c r="J64" s="108"/>
      <c r="K64" s="163"/>
      <c r="L64" s="108"/>
      <c r="M64" s="164">
        <f>Y13</f>
        <v>179</v>
      </c>
      <c r="N64" s="114"/>
      <c r="O64" s="115"/>
      <c r="P64" s="186" t="s">
        <v>199</v>
      </c>
      <c r="Q64" s="187"/>
      <c r="R64" s="187"/>
      <c r="S64" s="188"/>
      <c r="T64" s="148"/>
      <c r="U64" s="161"/>
      <c r="W64" s="189"/>
      <c r="X64" s="190"/>
      <c r="Y64" s="190"/>
      <c r="Z64" s="190"/>
      <c r="AA64" s="190"/>
      <c r="AB64" s="190"/>
      <c r="AC64" s="190"/>
      <c r="AD64" s="190"/>
      <c r="AE64" s="190"/>
      <c r="AF64" s="191"/>
      <c r="AI64" s="189"/>
      <c r="AJ64" s="190"/>
      <c r="AK64" s="190"/>
      <c r="AL64" s="190"/>
      <c r="AM64" s="190"/>
      <c r="AN64" s="191"/>
    </row>
    <row r="65" spans="2:46" ht="19.5" x14ac:dyDescent="0.3">
      <c r="B65" s="106"/>
      <c r="C65" s="107"/>
      <c r="D65" s="108"/>
      <c r="E65" s="162" t="s">
        <v>105</v>
      </c>
      <c r="F65" s="108" t="s">
        <v>113</v>
      </c>
      <c r="G65" s="108"/>
      <c r="H65" s="108"/>
      <c r="I65" s="108"/>
      <c r="J65" s="108"/>
      <c r="K65" s="163"/>
      <c r="L65" s="108"/>
      <c r="M65" s="164"/>
      <c r="N65" s="114"/>
      <c r="O65" s="103"/>
      <c r="P65" s="158" t="s">
        <v>135</v>
      </c>
      <c r="Q65" s="159" t="s">
        <v>222</v>
      </c>
      <c r="R65" s="159"/>
      <c r="S65" s="160">
        <v>30</v>
      </c>
      <c r="T65" s="148"/>
      <c r="U65" s="161"/>
      <c r="V65" s="143"/>
      <c r="W65" s="165"/>
      <c r="X65" s="166" t="s">
        <v>93</v>
      </c>
      <c r="Y65" s="166"/>
      <c r="Z65" s="166"/>
      <c r="AA65" s="167"/>
      <c r="AB65" s="167"/>
      <c r="AC65" s="167"/>
      <c r="AD65" s="167"/>
      <c r="AE65" s="167"/>
      <c r="AF65" s="168"/>
      <c r="AH65" s="143"/>
      <c r="AI65" s="165"/>
      <c r="AJ65" s="166" t="s">
        <v>93</v>
      </c>
      <c r="AK65" s="167"/>
      <c r="AL65" s="167"/>
      <c r="AM65" s="167"/>
      <c r="AN65" s="168"/>
      <c r="AP65" s="493"/>
      <c r="AQ65" s="494"/>
    </row>
    <row r="66" spans="2:46" ht="19.5" customHeight="1" x14ac:dyDescent="0.3">
      <c r="B66" s="106"/>
      <c r="C66" s="107"/>
      <c r="D66" s="108"/>
      <c r="E66" s="162" t="s">
        <v>98</v>
      </c>
      <c r="F66" s="108" t="s">
        <v>114</v>
      </c>
      <c r="G66" s="108"/>
      <c r="H66" s="108"/>
      <c r="I66" s="108"/>
      <c r="J66" s="108"/>
      <c r="K66" s="163"/>
      <c r="L66" s="108"/>
      <c r="M66" s="164">
        <f>X2</f>
        <v>475</v>
      </c>
      <c r="N66" s="114"/>
      <c r="O66" s="103"/>
      <c r="P66" s="158" t="s">
        <v>136</v>
      </c>
      <c r="Q66" s="159" t="s">
        <v>223</v>
      </c>
      <c r="R66" s="159"/>
      <c r="S66" s="160">
        <v>60</v>
      </c>
      <c r="T66" s="148"/>
      <c r="U66" s="161"/>
      <c r="V66" s="103"/>
      <c r="W66" s="145" t="s">
        <v>139</v>
      </c>
      <c r="X66" s="146" t="s">
        <v>86</v>
      </c>
      <c r="Y66" s="146"/>
      <c r="Z66" s="146"/>
      <c r="AA66" s="146"/>
      <c r="AB66" s="146"/>
      <c r="AC66" s="146"/>
      <c r="AD66" s="146"/>
      <c r="AE66" s="146"/>
      <c r="AF66" s="157">
        <v>65</v>
      </c>
      <c r="AH66" s="103"/>
      <c r="AI66" s="145" t="s">
        <v>139</v>
      </c>
      <c r="AJ66" s="146" t="s">
        <v>86</v>
      </c>
      <c r="AK66" s="156"/>
      <c r="AL66" s="156"/>
      <c r="AM66" s="156"/>
      <c r="AN66" s="147">
        <v>65</v>
      </c>
      <c r="AP66" s="494"/>
      <c r="AQ66" s="494"/>
      <c r="AT66" s="142"/>
    </row>
    <row r="67" spans="2:46" ht="20.25" thickBot="1" x14ac:dyDescent="0.35">
      <c r="B67" s="106"/>
      <c r="C67" s="149"/>
      <c r="D67" s="150"/>
      <c r="E67" s="151"/>
      <c r="F67" s="150"/>
      <c r="G67" s="150"/>
      <c r="H67" s="150"/>
      <c r="I67" s="152" t="s">
        <v>214</v>
      </c>
      <c r="J67" s="153"/>
      <c r="K67" s="154"/>
      <c r="L67" s="153"/>
      <c r="M67" s="155">
        <v>0</v>
      </c>
      <c r="N67" s="114"/>
      <c r="O67" s="103"/>
      <c r="P67" s="145" t="s">
        <v>189</v>
      </c>
      <c r="Q67" s="146" t="s">
        <v>221</v>
      </c>
      <c r="R67" s="146"/>
      <c r="S67" s="147">
        <v>40</v>
      </c>
      <c r="T67" s="148"/>
      <c r="U67" s="143"/>
      <c r="AT67" s="142"/>
    </row>
    <row r="68" spans="2:46" ht="17.850000000000001" customHeight="1" thickBot="1" x14ac:dyDescent="0.35">
      <c r="B68" s="106"/>
      <c r="C68" s="107"/>
      <c r="D68" s="108"/>
      <c r="E68" s="109"/>
      <c r="F68" s="108"/>
      <c r="G68" s="108"/>
      <c r="H68" s="108"/>
      <c r="I68" s="110" t="s">
        <v>15</v>
      </c>
      <c r="J68" s="111"/>
      <c r="K68" s="112"/>
      <c r="L68" s="111"/>
      <c r="M68" s="113">
        <f>SUM(M59:M67)</f>
        <v>859</v>
      </c>
      <c r="N68" s="114"/>
      <c r="O68" s="115"/>
      <c r="P68" s="115" t="s">
        <v>206</v>
      </c>
      <c r="Q68" s="115"/>
      <c r="R68" s="115"/>
      <c r="S68" s="115"/>
      <c r="T68" s="115"/>
      <c r="U68" s="116"/>
      <c r="V68" s="117"/>
      <c r="W68" s="117"/>
      <c r="X68" s="117"/>
      <c r="Y68" s="117"/>
      <c r="Z68" s="118" t="str">
        <f>IF(AG68&gt;"","erstellter Typencode:  ","")</f>
        <v/>
      </c>
      <c r="AA68" s="118"/>
      <c r="AB68" s="118"/>
      <c r="AC68" s="118"/>
      <c r="AD68" s="118"/>
      <c r="AE68" s="118"/>
      <c r="AF68" s="118"/>
      <c r="AG68" s="119" t="str">
        <f>IF(SUM(B141:B169)=0,"",S83)</f>
        <v/>
      </c>
      <c r="AH68" s="119"/>
      <c r="AI68" s="119"/>
      <c r="AJ68" s="119"/>
      <c r="AK68" s="119"/>
      <c r="AL68" s="119"/>
      <c r="AM68" s="119"/>
      <c r="AN68" s="120"/>
      <c r="AT68" s="142"/>
    </row>
    <row r="69" spans="2:46" ht="17.850000000000001" customHeight="1" thickTop="1" x14ac:dyDescent="0.3">
      <c r="B69" s="106"/>
      <c r="C69" s="121"/>
      <c r="D69" s="122"/>
      <c r="E69" s="123"/>
      <c r="F69" s="122"/>
      <c r="G69" s="122"/>
      <c r="H69" s="122"/>
      <c r="I69" s="124" t="s">
        <v>179</v>
      </c>
      <c r="J69" s="124"/>
      <c r="K69" s="124"/>
      <c r="L69" s="125"/>
      <c r="M69" s="126">
        <f>M68-SUM(M68)*100/119</f>
        <v>137.15126050420167</v>
      </c>
      <c r="N69" s="114"/>
      <c r="O69" s="115"/>
      <c r="P69" s="115" t="s">
        <v>207</v>
      </c>
      <c r="Q69" s="115"/>
      <c r="R69" s="115"/>
      <c r="S69" s="115"/>
      <c r="T69" s="115"/>
      <c r="U69" s="127"/>
      <c r="V69" s="128"/>
      <c r="W69" s="128"/>
      <c r="X69" s="128"/>
      <c r="Y69" s="128"/>
      <c r="Z69" s="129"/>
      <c r="AA69" s="129"/>
      <c r="AB69" s="129"/>
      <c r="AC69" s="129"/>
      <c r="AD69" s="129"/>
      <c r="AE69" s="129"/>
      <c r="AF69" s="129"/>
      <c r="AG69" s="130"/>
      <c r="AH69" s="130"/>
      <c r="AI69" s="130"/>
      <c r="AJ69" s="130"/>
      <c r="AK69" s="130"/>
      <c r="AL69" s="130"/>
      <c r="AM69" s="130"/>
      <c r="AN69" s="131"/>
      <c r="AT69" s="142"/>
    </row>
    <row r="70" spans="2:46" ht="17.850000000000001" customHeight="1" thickBot="1" x14ac:dyDescent="0.35">
      <c r="B70" s="132"/>
      <c r="C70" s="133"/>
      <c r="D70" s="133"/>
      <c r="E70" s="134"/>
      <c r="F70" s="133"/>
      <c r="G70" s="133"/>
      <c r="H70" s="133"/>
      <c r="I70" s="134"/>
      <c r="J70" s="133"/>
      <c r="K70" s="133"/>
      <c r="L70" s="133"/>
      <c r="M70" s="135"/>
      <c r="N70" s="133"/>
      <c r="O70" s="136"/>
      <c r="P70" s="136"/>
      <c r="Q70" s="136"/>
      <c r="R70" s="136"/>
      <c r="S70" s="136"/>
      <c r="T70" s="136"/>
      <c r="U70" s="137"/>
      <c r="V70" s="138"/>
      <c r="W70" s="138"/>
      <c r="X70" s="138"/>
      <c r="Y70" s="138"/>
      <c r="Z70" s="139"/>
      <c r="AA70" s="139"/>
      <c r="AB70" s="139"/>
      <c r="AC70" s="139"/>
      <c r="AD70" s="139"/>
      <c r="AE70" s="139"/>
      <c r="AF70" s="139"/>
      <c r="AG70" s="140"/>
      <c r="AH70" s="140"/>
      <c r="AI70" s="140"/>
      <c r="AJ70" s="140"/>
      <c r="AK70" s="140"/>
      <c r="AL70" s="140"/>
      <c r="AM70" s="140"/>
      <c r="AN70" s="141"/>
      <c r="AT70" s="142"/>
    </row>
    <row r="71" spans="2:46" ht="17.850000000000001" customHeight="1" x14ac:dyDescent="0.3">
      <c r="N71" s="143"/>
      <c r="T71" s="144"/>
      <c r="U71" s="143"/>
      <c r="AT71" s="142"/>
    </row>
    <row r="72" spans="2:46" ht="18.75" x14ac:dyDescent="0.3">
      <c r="N72" s="143"/>
      <c r="T72" s="144"/>
      <c r="U72" s="143"/>
      <c r="X72" s="142"/>
      <c r="Z72" s="144"/>
      <c r="AT72" s="142"/>
    </row>
    <row r="73" spans="2:46" ht="17.25" hidden="1" customHeight="1" x14ac:dyDescent="0.3">
      <c r="N73" s="143"/>
      <c r="O73" s="143"/>
      <c r="P73" s="143"/>
      <c r="Q73" s="495"/>
      <c r="R73" s="203"/>
      <c r="S73" s="496" t="s">
        <v>238</v>
      </c>
      <c r="T73" s="496"/>
      <c r="U73" s="496" t="s">
        <v>238</v>
      </c>
      <c r="V73" s="497"/>
      <c r="W73" s="213"/>
      <c r="X73" s="213"/>
      <c r="Y73" s="311"/>
      <c r="Z73" s="144"/>
      <c r="AA73" s="498"/>
      <c r="AB73" s="213"/>
      <c r="AC73" s="213"/>
      <c r="AD73" s="213"/>
      <c r="AE73" s="213"/>
      <c r="AF73" s="311"/>
      <c r="AR73" s="499"/>
      <c r="AT73" s="142"/>
    </row>
    <row r="74" spans="2:46" ht="17.850000000000001" hidden="1" customHeight="1" x14ac:dyDescent="0.3">
      <c r="J74" s="317"/>
      <c r="K74" s="317"/>
      <c r="L74" s="500"/>
      <c r="M74" s="501" t="s">
        <v>218</v>
      </c>
      <c r="N74" s="143"/>
      <c r="Q74" s="184"/>
      <c r="R74" s="502" t="s">
        <v>100</v>
      </c>
      <c r="S74" s="503" t="s">
        <v>170</v>
      </c>
      <c r="T74" s="504" t="s">
        <v>79</v>
      </c>
      <c r="U74" s="505"/>
      <c r="V74" s="505"/>
      <c r="W74" s="144"/>
      <c r="X74" s="144"/>
      <c r="Y74" s="276"/>
      <c r="Z74" s="144"/>
      <c r="AA74" s="506" t="s">
        <v>80</v>
      </c>
      <c r="AB74" s="507"/>
      <c r="AC74" s="508" t="s">
        <v>105</v>
      </c>
      <c r="AD74" s="144"/>
      <c r="AE74" s="144"/>
      <c r="AF74" s="276" t="s">
        <v>81</v>
      </c>
      <c r="AR74" s="499"/>
      <c r="AT74" s="142"/>
    </row>
    <row r="75" spans="2:46" s="509" customFormat="1" ht="29.25" hidden="1" customHeight="1" x14ac:dyDescent="0.35">
      <c r="E75" s="510"/>
      <c r="J75" s="511"/>
      <c r="K75" s="512"/>
      <c r="L75" s="513" t="s">
        <v>217</v>
      </c>
      <c r="M75" s="514">
        <v>14.99</v>
      </c>
      <c r="Q75" s="515"/>
      <c r="R75" s="516"/>
      <c r="S75" s="517">
        <f>I170</f>
        <v>0</v>
      </c>
      <c r="T75" s="518">
        <f>N170</f>
        <v>0</v>
      </c>
      <c r="U75" s="518"/>
      <c r="V75" s="518"/>
      <c r="W75" s="516"/>
      <c r="X75" s="516"/>
      <c r="Y75" s="519"/>
      <c r="Z75" s="516"/>
      <c r="AA75" s="506"/>
      <c r="AB75" s="507"/>
      <c r="AC75" s="520"/>
      <c r="AD75" s="516"/>
      <c r="AE75" s="516"/>
      <c r="AF75" s="521" t="str">
        <f>AC74&amp;"-"</f>
        <v>XX-</v>
      </c>
      <c r="AJ75" s="510"/>
      <c r="AK75" s="510"/>
      <c r="AR75" s="522"/>
      <c r="AT75" s="510"/>
    </row>
    <row r="76" spans="2:46" ht="19.5" hidden="1" x14ac:dyDescent="0.3">
      <c r="J76" s="523"/>
      <c r="K76" s="524"/>
      <c r="L76" s="525" t="s">
        <v>216</v>
      </c>
      <c r="M76" s="526"/>
      <c r="N76" s="143"/>
      <c r="Q76" s="184"/>
      <c r="R76" s="144"/>
      <c r="S76" s="144"/>
      <c r="T76" s="144"/>
      <c r="U76" s="196"/>
      <c r="V76" s="144"/>
      <c r="W76" s="144"/>
      <c r="X76" s="144"/>
      <c r="Y76" s="276"/>
      <c r="Z76" s="144"/>
      <c r="AA76" s="527"/>
      <c r="AB76" s="190"/>
      <c r="AC76" s="190"/>
      <c r="AD76" s="271"/>
      <c r="AE76" s="271"/>
      <c r="AF76" s="191"/>
      <c r="AT76" s="142"/>
    </row>
    <row r="77" spans="2:46" ht="39" hidden="1" x14ac:dyDescent="0.6">
      <c r="N77" s="143"/>
      <c r="Q77" s="189"/>
      <c r="R77" s="528" t="s">
        <v>219</v>
      </c>
      <c r="S77" s="529" t="str">
        <f>IFERROR(RIGHT(E140,LEN(E139)-8),"auswählen")</f>
        <v>auswählen</v>
      </c>
      <c r="T77" s="529"/>
      <c r="U77" s="529"/>
      <c r="V77" s="529"/>
      <c r="W77" s="529"/>
      <c r="X77" s="529"/>
      <c r="Y77" s="295"/>
      <c r="Z77" s="144"/>
      <c r="AA77" s="143"/>
      <c r="AD77" s="143"/>
      <c r="AE77" s="143"/>
      <c r="AF77" s="530"/>
      <c r="AT77" s="142"/>
    </row>
    <row r="78" spans="2:46" ht="18.75" hidden="1" x14ac:dyDescent="0.3">
      <c r="N78" s="143"/>
      <c r="U78" s="143"/>
      <c r="V78" s="143"/>
      <c r="W78" s="143"/>
      <c r="X78" s="143"/>
      <c r="Y78" s="143"/>
      <c r="Z78" s="143"/>
      <c r="AA78" s="143"/>
      <c r="AB78" s="143"/>
      <c r="AC78" s="143"/>
      <c r="AD78" s="143"/>
      <c r="AE78" s="143"/>
      <c r="AT78" s="142"/>
    </row>
    <row r="79" spans="2:46" ht="18.75" hidden="1" x14ac:dyDescent="0.3">
      <c r="N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T79" s="142"/>
    </row>
    <row r="80" spans="2:46" ht="18.75" hidden="1" x14ac:dyDescent="0.3">
      <c r="N80" s="142"/>
      <c r="U80" s="143"/>
      <c r="V80" s="143"/>
      <c r="W80" s="143"/>
      <c r="X80" s="143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T80" s="142"/>
    </row>
    <row r="81" spans="1:42" outlineLevel="1" x14ac:dyDescent="0.3">
      <c r="AL81" s="142"/>
    </row>
    <row r="82" spans="1:42" ht="63.75" customHeight="1" outlineLevel="1" x14ac:dyDescent="0.4">
      <c r="A82" s="394"/>
      <c r="B82" s="394"/>
      <c r="C82" s="394"/>
      <c r="D82" s="394"/>
      <c r="E82" s="391" t="s">
        <v>183</v>
      </c>
      <c r="F82" s="392"/>
      <c r="G82" s="392"/>
      <c r="H82" s="392"/>
      <c r="I82" s="392"/>
      <c r="J82" s="392"/>
      <c r="K82" s="392"/>
      <c r="L82" s="393"/>
      <c r="S82" s="394"/>
      <c r="T82" s="394"/>
      <c r="U82" s="394"/>
      <c r="V82" s="394"/>
      <c r="W82" s="394"/>
      <c r="X82" s="394"/>
      <c r="Y82" s="394"/>
      <c r="Z82" s="394"/>
      <c r="AA82" s="394"/>
      <c r="AB82" s="394"/>
      <c r="AC82" s="394"/>
      <c r="AD82" s="394"/>
      <c r="AE82" s="394"/>
      <c r="AF82" s="394"/>
      <c r="AG82" s="394"/>
      <c r="AH82" s="394"/>
      <c r="AI82" s="394"/>
      <c r="AJ82" s="395"/>
      <c r="AK82" s="395"/>
      <c r="AL82" s="394"/>
      <c r="AP82" s="492"/>
    </row>
    <row r="83" spans="1:42" ht="34.5" outlineLevel="1" x14ac:dyDescent="0.5">
      <c r="A83" s="394"/>
      <c r="B83" s="394"/>
      <c r="C83" s="394"/>
      <c r="D83" s="394"/>
      <c r="E83" s="396" t="s">
        <v>124</v>
      </c>
      <c r="F83" s="397"/>
      <c r="G83" s="392"/>
      <c r="H83" s="392"/>
      <c r="I83" s="392"/>
      <c r="J83" s="392"/>
      <c r="K83" s="392"/>
      <c r="L83" s="393"/>
      <c r="M83" s="394"/>
      <c r="N83" s="394"/>
      <c r="O83" s="394"/>
      <c r="P83" s="394"/>
      <c r="Q83" s="394"/>
      <c r="R83" s="394"/>
      <c r="S83" s="398" t="str">
        <f>E140</f>
        <v>BW2-XX</v>
      </c>
      <c r="T83" s="398"/>
      <c r="U83" s="394"/>
      <c r="V83" s="394"/>
      <c r="W83" s="394"/>
      <c r="X83" s="394"/>
      <c r="Y83" s="394"/>
      <c r="Z83" s="394"/>
      <c r="AA83" s="394"/>
      <c r="AB83" s="394"/>
      <c r="AC83" s="394"/>
      <c r="AD83" s="394"/>
      <c r="AE83" s="394"/>
      <c r="AF83" s="394"/>
      <c r="AG83" s="394"/>
      <c r="AH83" s="394"/>
      <c r="AK83" s="395"/>
      <c r="AL83" s="395"/>
    </row>
    <row r="84" spans="1:42" ht="24.75" outlineLevel="1" x14ac:dyDescent="0.4">
      <c r="A84" s="394"/>
      <c r="B84" s="394"/>
      <c r="C84" s="394"/>
      <c r="D84" s="394"/>
      <c r="E84" s="352" t="s">
        <v>186</v>
      </c>
      <c r="F84" s="392"/>
      <c r="G84" s="392"/>
      <c r="H84" s="392"/>
      <c r="I84" s="392"/>
      <c r="J84" s="392"/>
      <c r="K84" s="392"/>
      <c r="L84" s="393"/>
      <c r="M84" s="394"/>
      <c r="N84" s="394"/>
      <c r="O84" s="394"/>
      <c r="P84" s="394"/>
      <c r="Q84" s="394"/>
      <c r="R84" s="394"/>
      <c r="S84" s="399"/>
      <c r="T84" s="399"/>
      <c r="U84" s="394"/>
      <c r="V84" s="394"/>
      <c r="W84" s="394"/>
      <c r="X84" s="394"/>
      <c r="Y84" s="394"/>
      <c r="Z84" s="394"/>
      <c r="AA84" s="394"/>
      <c r="AB84" s="394"/>
      <c r="AC84" s="394"/>
      <c r="AD84" s="394"/>
      <c r="AE84" s="394"/>
      <c r="AF84" s="394"/>
      <c r="AG84" s="394"/>
      <c r="AH84" s="394"/>
    </row>
    <row r="85" spans="1:42" ht="24.75" outlineLevel="1" x14ac:dyDescent="0.4">
      <c r="A85" s="394"/>
      <c r="B85" s="394"/>
      <c r="C85" s="394"/>
      <c r="D85" s="394"/>
      <c r="E85" s="393"/>
      <c r="F85" s="392"/>
      <c r="G85" s="392"/>
      <c r="H85" s="392"/>
      <c r="I85" s="392"/>
      <c r="J85" s="392"/>
      <c r="K85" s="392"/>
      <c r="L85" s="393"/>
      <c r="O85" s="394"/>
      <c r="P85" s="394"/>
      <c r="Q85" s="394"/>
      <c r="R85" s="394"/>
      <c r="S85" s="399"/>
      <c r="T85" s="399"/>
      <c r="U85" s="394"/>
      <c r="V85" s="394"/>
      <c r="W85" s="394"/>
      <c r="X85" s="394"/>
      <c r="Y85" s="394"/>
      <c r="Z85" s="394"/>
      <c r="AA85" s="394"/>
      <c r="AB85" s="394"/>
      <c r="AC85" s="394"/>
      <c r="AD85" s="394"/>
      <c r="AE85" s="394"/>
      <c r="AF85" s="394"/>
      <c r="AG85" s="394"/>
      <c r="AH85" s="394"/>
    </row>
    <row r="86" spans="1:42" ht="36" outlineLevel="1" x14ac:dyDescent="0.55000000000000004">
      <c r="A86" s="394"/>
      <c r="B86" s="394"/>
      <c r="C86" s="394"/>
      <c r="D86" s="394"/>
      <c r="E86" s="400" t="s">
        <v>161</v>
      </c>
      <c r="F86" s="401"/>
      <c r="G86" s="401"/>
      <c r="H86" s="401"/>
      <c r="I86" s="401"/>
      <c r="J86" s="401"/>
      <c r="K86" s="401"/>
      <c r="L86" s="402" t="s">
        <v>130</v>
      </c>
      <c r="O86" s="403" t="s">
        <v>133</v>
      </c>
      <c r="P86" s="404"/>
      <c r="Q86" s="404"/>
      <c r="R86" s="404"/>
      <c r="S86" s="405"/>
      <c r="T86" s="405"/>
      <c r="U86" s="405"/>
      <c r="V86" s="405"/>
      <c r="W86" s="405"/>
      <c r="X86" s="405"/>
      <c r="Y86" s="405"/>
      <c r="Z86" s="405"/>
      <c r="AA86" s="405"/>
      <c r="AB86" s="405"/>
      <c r="AC86" s="405"/>
      <c r="AD86" s="405"/>
      <c r="AE86" s="405"/>
      <c r="AF86" s="405"/>
      <c r="AG86" s="405"/>
      <c r="AH86" s="405"/>
      <c r="AI86" s="406" t="s">
        <v>126</v>
      </c>
      <c r="AJ86" s="407">
        <f>I170</f>
        <v>0</v>
      </c>
      <c r="AK86" s="408"/>
      <c r="AL86" s="408"/>
    </row>
    <row r="87" spans="1:42" ht="24.75" outlineLevel="1" x14ac:dyDescent="0.4">
      <c r="A87" s="394"/>
      <c r="B87" s="394"/>
      <c r="C87" s="394"/>
      <c r="D87" s="394"/>
      <c r="E87" s="409"/>
      <c r="F87" s="410"/>
      <c r="G87" s="410"/>
      <c r="H87" s="410"/>
      <c r="I87" s="410"/>
      <c r="J87" s="410"/>
      <c r="K87" s="410"/>
      <c r="L87" s="411" t="s">
        <v>156</v>
      </c>
      <c r="P87" s="393"/>
      <c r="Q87" s="393" t="str">
        <f t="shared" ref="Q87:Q96" si="0">IFERROR(VLOOKUP(K141,$B$141:$I$169,2,FALSE),"")</f>
        <v/>
      </c>
      <c r="R87" s="392" t="str">
        <f>IFERROR(VLOOKUP(K141,$B$141:I169,3,FALSE),"")</f>
        <v/>
      </c>
      <c r="U87" s="393"/>
      <c r="V87" s="393"/>
      <c r="W87" s="393"/>
      <c r="X87" s="393"/>
      <c r="Y87" s="393"/>
      <c r="Z87" s="393"/>
      <c r="AA87" s="393"/>
      <c r="AB87" s="393"/>
      <c r="AC87" s="393"/>
      <c r="AD87" s="393"/>
      <c r="AE87" s="393"/>
      <c r="AF87" s="393"/>
      <c r="AG87" s="393"/>
      <c r="AH87" s="392"/>
      <c r="AI87" s="392"/>
      <c r="AJ87" s="412" t="str">
        <f t="shared" ref="AJ87:AJ96" si="1">IFERROR(VLOOKUP(K141,$B$141:$I$169,8,FALSE),"")</f>
        <v/>
      </c>
      <c r="AK87" s="413"/>
      <c r="AL87" s="413"/>
      <c r="AM87" s="397"/>
    </row>
    <row r="88" spans="1:42" ht="24.75" outlineLevel="1" x14ac:dyDescent="0.4">
      <c r="A88" s="394"/>
      <c r="B88" s="394"/>
      <c r="C88" s="394"/>
      <c r="D88" s="394"/>
      <c r="E88" s="414"/>
      <c r="F88" s="392"/>
      <c r="G88" s="392"/>
      <c r="H88" s="392"/>
      <c r="I88" s="392"/>
      <c r="J88" s="415"/>
      <c r="K88" s="416"/>
      <c r="L88" s="417"/>
      <c r="P88" s="393"/>
      <c r="Q88" s="393" t="str">
        <f t="shared" si="0"/>
        <v/>
      </c>
      <c r="R88" s="392" t="str">
        <f>IFERROR(VLOOKUP(K142,$B$141:I170,3,FALSE),"")</f>
        <v/>
      </c>
      <c r="U88" s="393"/>
      <c r="V88" s="393"/>
      <c r="W88" s="393"/>
      <c r="X88" s="393"/>
      <c r="Y88" s="393"/>
      <c r="Z88" s="393"/>
      <c r="AA88" s="393"/>
      <c r="AB88" s="393"/>
      <c r="AC88" s="393"/>
      <c r="AD88" s="393"/>
      <c r="AE88" s="393"/>
      <c r="AF88" s="393"/>
      <c r="AG88" s="393"/>
      <c r="AH88" s="392"/>
      <c r="AI88" s="392"/>
      <c r="AJ88" s="412" t="str">
        <f t="shared" si="1"/>
        <v/>
      </c>
      <c r="AK88" s="413"/>
      <c r="AL88" s="413"/>
      <c r="AM88" s="397"/>
    </row>
    <row r="89" spans="1:42" ht="24.75" outlineLevel="1" x14ac:dyDescent="0.4">
      <c r="A89" s="394"/>
      <c r="B89" s="394"/>
      <c r="C89" s="394"/>
      <c r="D89" s="394"/>
      <c r="E89" s="418" t="s">
        <v>96</v>
      </c>
      <c r="F89" s="419"/>
      <c r="G89" s="419"/>
      <c r="H89" s="419"/>
      <c r="I89" s="419"/>
      <c r="J89" s="420">
        <f>X2</f>
        <v>475</v>
      </c>
      <c r="K89" s="420"/>
      <c r="L89" s="421"/>
      <c r="P89" s="393"/>
      <c r="Q89" s="393" t="str">
        <f t="shared" si="0"/>
        <v/>
      </c>
      <c r="R89" s="392" t="str">
        <f>IFERROR(VLOOKUP(K143,$B$141:I182,3,FALSE),"")</f>
        <v/>
      </c>
      <c r="U89" s="393"/>
      <c r="V89" s="393"/>
      <c r="W89" s="393"/>
      <c r="X89" s="393"/>
      <c r="Y89" s="393"/>
      <c r="Z89" s="393"/>
      <c r="AA89" s="393"/>
      <c r="AB89" s="393"/>
      <c r="AC89" s="393"/>
      <c r="AD89" s="393"/>
      <c r="AE89" s="393"/>
      <c r="AF89" s="393"/>
      <c r="AG89" s="393"/>
      <c r="AH89" s="392"/>
      <c r="AI89" s="392"/>
      <c r="AJ89" s="412" t="str">
        <f t="shared" si="1"/>
        <v/>
      </c>
      <c r="AK89" s="413"/>
      <c r="AL89" s="413"/>
      <c r="AM89" s="397"/>
    </row>
    <row r="90" spans="1:42" ht="24.75" outlineLevel="1" x14ac:dyDescent="0.4">
      <c r="A90" s="394"/>
      <c r="B90" s="394"/>
      <c r="C90" s="394"/>
      <c r="D90" s="394"/>
      <c r="E90" s="418" t="str">
        <f>IFERROR("Optionen: "&amp;RIGHT($E$140,LEN($E$140)-7),"")</f>
        <v/>
      </c>
      <c r="F90" s="419"/>
      <c r="G90" s="419"/>
      <c r="H90" s="419"/>
      <c r="I90" s="419"/>
      <c r="J90" s="420">
        <f>I170</f>
        <v>0</v>
      </c>
      <c r="K90" s="420"/>
      <c r="L90" s="421"/>
      <c r="P90" s="393"/>
      <c r="Q90" s="393" t="str">
        <f t="shared" si="0"/>
        <v/>
      </c>
      <c r="R90" s="392" t="str">
        <f>IFERROR(VLOOKUP(K144,$B$141:I183,3,FALSE),"")</f>
        <v/>
      </c>
      <c r="U90" s="393"/>
      <c r="V90" s="393"/>
      <c r="W90" s="393"/>
      <c r="X90" s="393"/>
      <c r="Y90" s="393"/>
      <c r="Z90" s="393"/>
      <c r="AA90" s="393"/>
      <c r="AB90" s="393"/>
      <c r="AC90" s="393"/>
      <c r="AD90" s="393"/>
      <c r="AE90" s="393"/>
      <c r="AF90" s="393"/>
      <c r="AG90" s="393"/>
      <c r="AH90" s="392"/>
      <c r="AI90" s="392"/>
      <c r="AJ90" s="412" t="str">
        <f t="shared" si="1"/>
        <v/>
      </c>
      <c r="AK90" s="413"/>
      <c r="AL90" s="413"/>
      <c r="AM90" s="397"/>
    </row>
    <row r="91" spans="1:42" ht="24.75" outlineLevel="1" x14ac:dyDescent="0.4">
      <c r="A91" s="394"/>
      <c r="B91" s="394"/>
      <c r="C91" s="394"/>
      <c r="D91" s="394"/>
      <c r="E91" s="418" t="s">
        <v>155</v>
      </c>
      <c r="F91" s="419"/>
      <c r="G91" s="419"/>
      <c r="H91" s="419"/>
      <c r="I91" s="419"/>
      <c r="J91" s="420">
        <f>$AJ$97</f>
        <v>0</v>
      </c>
      <c r="K91" s="420"/>
      <c r="L91" s="421"/>
      <c r="P91" s="393"/>
      <c r="Q91" s="393" t="str">
        <f t="shared" si="0"/>
        <v/>
      </c>
      <c r="R91" s="392" t="str">
        <f>IFERROR(VLOOKUP(K145,$B$141:I184,3,FALSE),"")</f>
        <v/>
      </c>
      <c r="U91" s="393"/>
      <c r="V91" s="393"/>
      <c r="W91" s="393"/>
      <c r="X91" s="393"/>
      <c r="Y91" s="393"/>
      <c r="Z91" s="393"/>
      <c r="AA91" s="393"/>
      <c r="AB91" s="393"/>
      <c r="AC91" s="393"/>
      <c r="AD91" s="393"/>
      <c r="AE91" s="393"/>
      <c r="AF91" s="393"/>
      <c r="AG91" s="393"/>
      <c r="AH91" s="392"/>
      <c r="AI91" s="392"/>
      <c r="AJ91" s="412" t="str">
        <f t="shared" si="1"/>
        <v/>
      </c>
      <c r="AK91" s="413"/>
      <c r="AL91" s="413"/>
      <c r="AM91" s="397"/>
    </row>
    <row r="92" spans="1:42" ht="24.75" outlineLevel="1" x14ac:dyDescent="0.4">
      <c r="A92" s="394"/>
      <c r="B92" s="394"/>
      <c r="C92" s="394"/>
      <c r="D92" s="394"/>
      <c r="E92" s="418" t="s">
        <v>182</v>
      </c>
      <c r="F92" s="419"/>
      <c r="G92" s="419"/>
      <c r="H92" s="419"/>
      <c r="I92" s="419"/>
      <c r="J92" s="420">
        <f>IF($M$76&gt;0,$M$76,$M$75)</f>
        <v>14.99</v>
      </c>
      <c r="K92" s="420"/>
      <c r="L92" s="421"/>
      <c r="P92" s="393"/>
      <c r="Q92" s="422" t="str">
        <f t="shared" si="0"/>
        <v/>
      </c>
      <c r="R92" s="392" t="str">
        <f>IFERROR(VLOOKUP(K146,$B$141:I185,3,FALSE),"")</f>
        <v/>
      </c>
      <c r="U92" s="423"/>
      <c r="V92" s="423"/>
      <c r="W92" s="423"/>
      <c r="X92" s="423"/>
      <c r="Y92" s="423"/>
      <c r="Z92" s="423"/>
      <c r="AA92" s="423"/>
      <c r="AB92" s="423"/>
      <c r="AC92" s="423"/>
      <c r="AD92" s="423"/>
      <c r="AE92" s="423"/>
      <c r="AF92" s="423"/>
      <c r="AG92" s="423"/>
      <c r="AH92" s="393"/>
      <c r="AI92" s="393"/>
      <c r="AJ92" s="412" t="str">
        <f t="shared" si="1"/>
        <v/>
      </c>
      <c r="AK92" s="412"/>
      <c r="AL92" s="412"/>
      <c r="AM92" s="397"/>
    </row>
    <row r="93" spans="1:42" ht="24.75" outlineLevel="1" x14ac:dyDescent="0.4">
      <c r="A93" s="394"/>
      <c r="B93" s="394"/>
      <c r="C93" s="394"/>
      <c r="D93" s="394"/>
      <c r="E93" s="424"/>
      <c r="F93" s="392"/>
      <c r="G93" s="392"/>
      <c r="H93" s="392"/>
      <c r="I93" s="397"/>
      <c r="J93" s="425"/>
      <c r="K93" s="425"/>
      <c r="L93" s="426"/>
      <c r="P93" s="393"/>
      <c r="Q93" s="422" t="str">
        <f t="shared" si="0"/>
        <v/>
      </c>
      <c r="R93" s="392" t="str">
        <f>IFERROR(VLOOKUP(K147,$B$141:I186,3,FALSE),"")</f>
        <v/>
      </c>
      <c r="U93" s="423"/>
      <c r="V93" s="423"/>
      <c r="W93" s="423"/>
      <c r="X93" s="423"/>
      <c r="Y93" s="423"/>
      <c r="Z93" s="423"/>
      <c r="AA93" s="423"/>
      <c r="AB93" s="423"/>
      <c r="AC93" s="423"/>
      <c r="AD93" s="423"/>
      <c r="AE93" s="423"/>
      <c r="AF93" s="423"/>
      <c r="AG93" s="423"/>
      <c r="AH93" s="393"/>
      <c r="AI93" s="393"/>
      <c r="AJ93" s="412" t="str">
        <f t="shared" si="1"/>
        <v/>
      </c>
      <c r="AK93" s="412"/>
      <c r="AL93" s="412"/>
      <c r="AM93" s="397"/>
    </row>
    <row r="94" spans="1:42" ht="24.75" outlineLevel="1" x14ac:dyDescent="0.4">
      <c r="A94" s="394"/>
      <c r="B94" s="394"/>
      <c r="C94" s="394"/>
      <c r="D94" s="394"/>
      <c r="E94" s="427" t="s">
        <v>115</v>
      </c>
      <c r="F94" s="428"/>
      <c r="G94" s="428"/>
      <c r="H94" s="428"/>
      <c r="I94" s="429" t="s">
        <v>180</v>
      </c>
      <c r="J94" s="430">
        <f>SUM(J89:L92)</f>
        <v>489.99</v>
      </c>
      <c r="K94" s="430"/>
      <c r="L94" s="431"/>
      <c r="P94" s="393"/>
      <c r="Q94" s="393" t="str">
        <f t="shared" si="0"/>
        <v/>
      </c>
      <c r="R94" s="392" t="str">
        <f>IFERROR(VLOOKUP(K148,$B$141:I187,3,FALSE),"")</f>
        <v/>
      </c>
      <c r="U94" s="432"/>
      <c r="V94" s="432"/>
      <c r="W94" s="432"/>
      <c r="X94" s="432"/>
      <c r="Y94" s="432"/>
      <c r="Z94" s="432"/>
      <c r="AA94" s="432"/>
      <c r="AB94" s="432"/>
      <c r="AC94" s="432"/>
      <c r="AD94" s="432"/>
      <c r="AE94" s="432"/>
      <c r="AF94" s="432"/>
      <c r="AG94" s="432"/>
      <c r="AH94" s="433"/>
      <c r="AI94" s="433"/>
      <c r="AJ94" s="412" t="str">
        <f t="shared" si="1"/>
        <v/>
      </c>
      <c r="AK94" s="412"/>
      <c r="AL94" s="412"/>
      <c r="AM94" s="397"/>
    </row>
    <row r="95" spans="1:42" ht="24.75" outlineLevel="1" x14ac:dyDescent="0.4">
      <c r="A95" s="394"/>
      <c r="B95" s="394"/>
      <c r="C95" s="394"/>
      <c r="D95" s="394"/>
      <c r="E95" s="349"/>
      <c r="I95" s="434" t="s">
        <v>181</v>
      </c>
      <c r="J95" s="435">
        <f>SUM(J94)*100/119</f>
        <v>411.75630252100842</v>
      </c>
      <c r="K95" s="435"/>
      <c r="L95" s="436"/>
      <c r="P95" s="393"/>
      <c r="Q95" s="393" t="str">
        <f t="shared" si="0"/>
        <v/>
      </c>
      <c r="R95" s="392" t="str">
        <f>IFERROR(VLOOKUP(K149,$B$141:I188,3,FALSE),"")</f>
        <v/>
      </c>
      <c r="U95" s="432"/>
      <c r="V95" s="432"/>
      <c r="W95" s="432"/>
      <c r="X95" s="432"/>
      <c r="Y95" s="432"/>
      <c r="Z95" s="432"/>
      <c r="AA95" s="432"/>
      <c r="AB95" s="432"/>
      <c r="AC95" s="432"/>
      <c r="AD95" s="432"/>
      <c r="AE95" s="432"/>
      <c r="AF95" s="432"/>
      <c r="AG95" s="432"/>
      <c r="AH95" s="433"/>
      <c r="AI95" s="433"/>
      <c r="AJ95" s="412" t="str">
        <f t="shared" si="1"/>
        <v/>
      </c>
      <c r="AK95" s="413"/>
      <c r="AL95" s="413"/>
      <c r="AM95" s="397"/>
    </row>
    <row r="96" spans="1:42" ht="24.75" outlineLevel="1" x14ac:dyDescent="0.4">
      <c r="A96" s="394"/>
      <c r="B96" s="394"/>
      <c r="C96" s="394"/>
      <c r="D96" s="394"/>
      <c r="E96" s="437"/>
      <c r="F96" s="438"/>
      <c r="G96" s="438"/>
      <c r="H96" s="438"/>
      <c r="I96" s="439" t="s">
        <v>179</v>
      </c>
      <c r="J96" s="440">
        <f>J94-SUM(J94)*100/119</f>
        <v>78.233697478991587</v>
      </c>
      <c r="K96" s="440"/>
      <c r="L96" s="441"/>
      <c r="P96" s="393"/>
      <c r="Q96" s="393" t="str">
        <f t="shared" si="0"/>
        <v/>
      </c>
      <c r="R96" s="392" t="str">
        <f>IFERROR(VLOOKUP(K150,$B$141:I189,3,FALSE),"")</f>
        <v/>
      </c>
      <c r="U96" s="432"/>
      <c r="V96" s="432"/>
      <c r="W96" s="432"/>
      <c r="X96" s="432"/>
      <c r="Y96" s="432"/>
      <c r="Z96" s="432"/>
      <c r="AA96" s="432"/>
      <c r="AB96" s="432"/>
      <c r="AC96" s="432"/>
      <c r="AD96" s="432"/>
      <c r="AE96" s="432"/>
      <c r="AF96" s="432"/>
      <c r="AG96" s="432"/>
      <c r="AH96" s="433"/>
      <c r="AI96" s="433"/>
      <c r="AJ96" s="412" t="str">
        <f t="shared" si="1"/>
        <v/>
      </c>
      <c r="AK96" s="413"/>
      <c r="AL96" s="413"/>
      <c r="AM96" s="397"/>
    </row>
    <row r="97" spans="1:41" ht="36" outlineLevel="1" x14ac:dyDescent="0.55000000000000004">
      <c r="A97" s="394"/>
      <c r="B97" s="394"/>
      <c r="C97" s="394"/>
      <c r="D97" s="394"/>
      <c r="O97" s="403" t="s">
        <v>154</v>
      </c>
      <c r="P97" s="404"/>
      <c r="Q97" s="404"/>
      <c r="R97" s="404"/>
      <c r="S97" s="405"/>
      <c r="T97" s="405"/>
      <c r="U97" s="405"/>
      <c r="V97" s="405"/>
      <c r="W97" s="405"/>
      <c r="X97" s="405"/>
      <c r="Y97" s="405"/>
      <c r="Z97" s="405"/>
      <c r="AA97" s="405"/>
      <c r="AB97" s="405"/>
      <c r="AC97" s="405"/>
      <c r="AD97" s="405"/>
      <c r="AE97" s="405"/>
      <c r="AF97" s="405"/>
      <c r="AG97" s="405"/>
      <c r="AH97" s="405"/>
      <c r="AI97" s="406" t="s">
        <v>153</v>
      </c>
      <c r="AJ97" s="407">
        <f>AJ139</f>
        <v>0</v>
      </c>
      <c r="AK97" s="408"/>
      <c r="AL97" s="408"/>
    </row>
    <row r="98" spans="1:41" ht="24.75" outlineLevel="1" x14ac:dyDescent="0.4">
      <c r="A98" s="394"/>
      <c r="B98" s="394"/>
      <c r="C98" s="394"/>
      <c r="D98" s="394"/>
      <c r="N98" s="442"/>
      <c r="Q98" s="443" t="str">
        <f>IF(AJ97=0,"Keine ausgewählt oder keine gewünscht",IFERROR(VLOOKUP(AL141,$Q$141:$AJ$149,2,FALSE),""))</f>
        <v>Keine ausgewählt oder keine gewünscht</v>
      </c>
      <c r="U98" s="393"/>
      <c r="V98" s="393"/>
      <c r="W98" s="393"/>
      <c r="X98" s="393"/>
      <c r="Y98" s="393"/>
      <c r="Z98" s="393"/>
      <c r="AA98" s="393"/>
      <c r="AB98" s="393"/>
      <c r="AC98" s="393"/>
      <c r="AD98" s="393"/>
      <c r="AE98" s="393"/>
      <c r="AF98" s="393"/>
      <c r="AG98" s="393"/>
      <c r="AH98" s="392"/>
      <c r="AI98" s="392"/>
      <c r="AJ98" s="444" t="str">
        <f t="shared" ref="AJ98:AJ106" si="2">IFERROR(VLOOKUP(AL141,$Q$141:$AJ$149,20,FALSE),"")</f>
        <v/>
      </c>
      <c r="AK98" s="445"/>
      <c r="AL98" s="445"/>
      <c r="AM98" s="397"/>
    </row>
    <row r="99" spans="1:41" ht="24.75" outlineLevel="1" x14ac:dyDescent="0.4">
      <c r="A99" s="394"/>
      <c r="B99" s="394"/>
      <c r="C99" s="394"/>
      <c r="D99" s="394"/>
      <c r="E99" s="446" t="s">
        <v>162</v>
      </c>
      <c r="F99" s="447"/>
      <c r="G99" s="447"/>
      <c r="H99" s="447"/>
      <c r="I99" s="448" t="s">
        <v>125</v>
      </c>
      <c r="J99" s="449"/>
      <c r="K99" s="449"/>
      <c r="L99" s="450"/>
      <c r="N99" s="397"/>
      <c r="O99" s="397"/>
      <c r="P99" s="397"/>
      <c r="Q99" s="443" t="str">
        <f t="shared" ref="Q99:Q106" si="3">IFERROR(VLOOKUP(AL142,$Q$141:$AJ$149,2,FALSE),"")</f>
        <v/>
      </c>
      <c r="U99" s="393"/>
      <c r="V99" s="393"/>
      <c r="W99" s="393"/>
      <c r="X99" s="393"/>
      <c r="Y99" s="393"/>
      <c r="Z99" s="393"/>
      <c r="AA99" s="393"/>
      <c r="AB99" s="393"/>
      <c r="AC99" s="393"/>
      <c r="AD99" s="393"/>
      <c r="AE99" s="393"/>
      <c r="AF99" s="393"/>
      <c r="AG99" s="393"/>
      <c r="AH99" s="392"/>
      <c r="AI99" s="392"/>
      <c r="AJ99" s="444" t="str">
        <f t="shared" si="2"/>
        <v/>
      </c>
      <c r="AK99" s="445"/>
      <c r="AL99" s="445"/>
      <c r="AM99" s="397"/>
      <c r="AN99" s="397"/>
      <c r="AO99" s="397"/>
    </row>
    <row r="100" spans="1:41" ht="24.75" outlineLevel="1" x14ac:dyDescent="0.4">
      <c r="A100" s="394"/>
      <c r="B100" s="394"/>
      <c r="C100" s="394"/>
      <c r="D100" s="394"/>
      <c r="E100" s="451"/>
      <c r="F100" s="452"/>
      <c r="G100" s="452"/>
      <c r="H100" s="452"/>
      <c r="I100" s="452"/>
      <c r="J100" s="453"/>
      <c r="K100" s="453"/>
      <c r="L100" s="454"/>
      <c r="O100" s="455"/>
      <c r="P100" s="455"/>
      <c r="Q100" s="443" t="str">
        <f t="shared" si="3"/>
        <v/>
      </c>
      <c r="U100" s="393"/>
      <c r="V100" s="393"/>
      <c r="W100" s="393"/>
      <c r="X100" s="393"/>
      <c r="Y100" s="393"/>
      <c r="Z100" s="393"/>
      <c r="AA100" s="393"/>
      <c r="AB100" s="393"/>
      <c r="AC100" s="393"/>
      <c r="AD100" s="393"/>
      <c r="AE100" s="393"/>
      <c r="AF100" s="393"/>
      <c r="AG100" s="393"/>
      <c r="AH100" s="392"/>
      <c r="AI100" s="392"/>
      <c r="AJ100" s="444" t="str">
        <f t="shared" si="2"/>
        <v/>
      </c>
      <c r="AK100" s="445"/>
      <c r="AL100" s="445"/>
      <c r="AM100" s="397"/>
      <c r="AN100" s="397"/>
      <c r="AO100" s="397"/>
    </row>
    <row r="101" spans="1:41" ht="24.75" outlineLevel="1" x14ac:dyDescent="0.4">
      <c r="A101" s="394"/>
      <c r="B101" s="394"/>
      <c r="C101" s="394"/>
      <c r="D101" s="394"/>
      <c r="E101" s="418" t="s">
        <v>96</v>
      </c>
      <c r="F101" s="419"/>
      <c r="G101" s="419"/>
      <c r="H101" s="419"/>
      <c r="I101" s="419"/>
      <c r="J101" s="420">
        <f>J89</f>
        <v>475</v>
      </c>
      <c r="K101" s="420"/>
      <c r="L101" s="421"/>
      <c r="O101" s="394"/>
      <c r="P101" s="394"/>
      <c r="Q101" s="443" t="str">
        <f t="shared" si="3"/>
        <v/>
      </c>
      <c r="U101" s="393"/>
      <c r="V101" s="393"/>
      <c r="W101" s="393"/>
      <c r="X101" s="393"/>
      <c r="Y101" s="393"/>
      <c r="Z101" s="393"/>
      <c r="AA101" s="393"/>
      <c r="AB101" s="393"/>
      <c r="AC101" s="393"/>
      <c r="AD101" s="393"/>
      <c r="AE101" s="393"/>
      <c r="AF101" s="393"/>
      <c r="AG101" s="393"/>
      <c r="AH101" s="392"/>
      <c r="AI101" s="392"/>
      <c r="AJ101" s="444" t="str">
        <f t="shared" si="2"/>
        <v/>
      </c>
      <c r="AK101" s="445"/>
      <c r="AL101" s="445"/>
      <c r="AM101" s="397"/>
      <c r="AN101" s="397"/>
      <c r="AO101" s="397"/>
    </row>
    <row r="102" spans="1:41" ht="24.75" outlineLevel="1" x14ac:dyDescent="0.4">
      <c r="A102" s="394"/>
      <c r="B102" s="394"/>
      <c r="C102" s="394"/>
      <c r="D102" s="394"/>
      <c r="E102" s="418" t="str">
        <f>IFERROR("Optionen: "&amp;RIGHT($E$140,LEN($E$140)-7),"")</f>
        <v/>
      </c>
      <c r="F102" s="419"/>
      <c r="G102" s="419"/>
      <c r="H102" s="419"/>
      <c r="I102" s="419"/>
      <c r="J102" s="420">
        <f>I170</f>
        <v>0</v>
      </c>
      <c r="K102" s="420"/>
      <c r="L102" s="421"/>
      <c r="O102" s="394"/>
      <c r="P102" s="394"/>
      <c r="Q102" s="443" t="str">
        <f t="shared" si="3"/>
        <v/>
      </c>
      <c r="U102" s="393"/>
      <c r="V102" s="393"/>
      <c r="W102" s="393"/>
      <c r="X102" s="393"/>
      <c r="Y102" s="393"/>
      <c r="Z102" s="393"/>
      <c r="AA102" s="393"/>
      <c r="AB102" s="393"/>
      <c r="AC102" s="393"/>
      <c r="AD102" s="393"/>
      <c r="AE102" s="393"/>
      <c r="AF102" s="393"/>
      <c r="AG102" s="393"/>
      <c r="AH102" s="392"/>
      <c r="AI102" s="392"/>
      <c r="AJ102" s="444" t="str">
        <f t="shared" si="2"/>
        <v/>
      </c>
      <c r="AK102" s="445"/>
      <c r="AL102" s="445"/>
      <c r="AM102" s="397"/>
      <c r="AN102" s="397"/>
      <c r="AO102" s="397"/>
    </row>
    <row r="103" spans="1:41" ht="24.75" outlineLevel="1" x14ac:dyDescent="0.4">
      <c r="A103" s="394"/>
      <c r="B103" s="394"/>
      <c r="C103" s="394"/>
      <c r="D103" s="394"/>
      <c r="E103" s="418" t="s">
        <v>155</v>
      </c>
      <c r="F103" s="456"/>
      <c r="G103" s="456"/>
      <c r="H103" s="456"/>
      <c r="I103" s="419"/>
      <c r="J103" s="420">
        <f>$AJ$97</f>
        <v>0</v>
      </c>
      <c r="K103" s="420"/>
      <c r="L103" s="421"/>
      <c r="O103" s="394"/>
      <c r="P103" s="394"/>
      <c r="Q103" s="443" t="str">
        <f t="shared" si="3"/>
        <v/>
      </c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/>
      <c r="AH103" s="392"/>
      <c r="AI103" s="392"/>
      <c r="AJ103" s="444" t="str">
        <f t="shared" si="2"/>
        <v/>
      </c>
      <c r="AK103" s="445"/>
      <c r="AL103" s="445"/>
      <c r="AM103" s="397"/>
      <c r="AN103" s="397"/>
      <c r="AO103" s="397"/>
    </row>
    <row r="104" spans="1:41" ht="24.75" outlineLevel="1" x14ac:dyDescent="0.4">
      <c r="A104" s="394"/>
      <c r="B104" s="394"/>
      <c r="C104" s="394"/>
      <c r="D104" s="394"/>
      <c r="E104" s="418" t="s">
        <v>182</v>
      </c>
      <c r="F104" s="419"/>
      <c r="G104" s="419"/>
      <c r="H104" s="419"/>
      <c r="I104" s="419"/>
      <c r="J104" s="420">
        <f>IF($M$76&gt;0,$M$76,$M$75)</f>
        <v>14.99</v>
      </c>
      <c r="K104" s="420"/>
      <c r="L104" s="421"/>
      <c r="O104" s="394"/>
      <c r="P104" s="394"/>
      <c r="Q104" s="443" t="str">
        <f t="shared" si="3"/>
        <v/>
      </c>
      <c r="S104" s="395"/>
      <c r="T104" s="395"/>
      <c r="U104" s="457"/>
      <c r="V104" s="457"/>
      <c r="W104" s="457"/>
      <c r="X104" s="457"/>
      <c r="Y104" s="457"/>
      <c r="Z104" s="457"/>
      <c r="AA104" s="457"/>
      <c r="AB104" s="457"/>
      <c r="AC104" s="457"/>
      <c r="AD104" s="457"/>
      <c r="AE104" s="457"/>
      <c r="AF104" s="457"/>
      <c r="AG104" s="457"/>
      <c r="AH104" s="395"/>
      <c r="AI104" s="395"/>
      <c r="AJ104" s="444" t="str">
        <f t="shared" si="2"/>
        <v/>
      </c>
      <c r="AK104" s="445"/>
      <c r="AL104" s="445"/>
    </row>
    <row r="105" spans="1:41" ht="24.75" outlineLevel="1" x14ac:dyDescent="0.4">
      <c r="A105" s="394"/>
      <c r="B105" s="394"/>
      <c r="C105" s="394"/>
      <c r="D105" s="394"/>
      <c r="E105" s="458"/>
      <c r="F105" s="397"/>
      <c r="G105" s="397"/>
      <c r="H105" s="397"/>
      <c r="I105" s="397"/>
      <c r="J105" s="459"/>
      <c r="K105" s="459"/>
      <c r="L105" s="460"/>
      <c r="O105" s="394"/>
      <c r="P105" s="394"/>
      <c r="Q105" s="443" t="str">
        <f t="shared" si="3"/>
        <v/>
      </c>
      <c r="S105" s="395"/>
      <c r="T105" s="395"/>
      <c r="U105" s="457"/>
      <c r="V105" s="457"/>
      <c r="W105" s="457"/>
      <c r="X105" s="457"/>
      <c r="Y105" s="457"/>
      <c r="Z105" s="457"/>
      <c r="AA105" s="457"/>
      <c r="AB105" s="457"/>
      <c r="AC105" s="457"/>
      <c r="AD105" s="457"/>
      <c r="AE105" s="457"/>
      <c r="AF105" s="457"/>
      <c r="AG105" s="457"/>
      <c r="AH105" s="395"/>
      <c r="AI105" s="395"/>
      <c r="AJ105" s="444" t="str">
        <f t="shared" si="2"/>
        <v/>
      </c>
      <c r="AK105" s="445"/>
      <c r="AL105" s="445"/>
    </row>
    <row r="106" spans="1:41" ht="24.75" outlineLevel="1" x14ac:dyDescent="0.4">
      <c r="A106" s="394"/>
      <c r="B106" s="394"/>
      <c r="C106" s="394"/>
      <c r="D106" s="394"/>
      <c r="E106" s="461" t="s">
        <v>164</v>
      </c>
      <c r="F106" s="419"/>
      <c r="G106" s="419"/>
      <c r="H106" s="419"/>
      <c r="I106" s="419"/>
      <c r="J106" s="462"/>
      <c r="K106" s="462"/>
      <c r="L106" s="463"/>
      <c r="O106" s="394"/>
      <c r="P106" s="394"/>
      <c r="Q106" s="443" t="str">
        <f t="shared" si="3"/>
        <v/>
      </c>
      <c r="R106" s="394"/>
      <c r="S106" s="395"/>
      <c r="T106" s="395"/>
      <c r="U106" s="457"/>
      <c r="V106" s="457"/>
      <c r="W106" s="457"/>
      <c r="X106" s="457"/>
      <c r="Y106" s="457"/>
      <c r="Z106" s="457"/>
      <c r="AA106" s="457"/>
      <c r="AB106" s="457"/>
      <c r="AC106" s="457"/>
      <c r="AD106" s="457"/>
      <c r="AE106" s="457"/>
      <c r="AF106" s="457"/>
      <c r="AG106" s="457"/>
      <c r="AH106" s="395"/>
      <c r="AI106" s="395"/>
      <c r="AJ106" s="444" t="str">
        <f t="shared" si="2"/>
        <v/>
      </c>
      <c r="AK106" s="445"/>
      <c r="AL106" s="445"/>
    </row>
    <row r="107" spans="1:41" ht="26.25" customHeight="1" outlineLevel="1" x14ac:dyDescent="0.4">
      <c r="E107" s="418" t="s">
        <v>188</v>
      </c>
      <c r="F107" s="456"/>
      <c r="G107" s="456"/>
      <c r="H107" s="456"/>
      <c r="I107" s="419"/>
      <c r="J107" s="420">
        <f>SUM(J101+J102+J103+J104)*2.99%+0.39</f>
        <v>15.040701000000002</v>
      </c>
      <c r="K107" s="420"/>
      <c r="L107" s="421"/>
      <c r="O107" s="394"/>
      <c r="P107" s="394"/>
      <c r="Q107" s="394"/>
      <c r="R107" s="394"/>
      <c r="S107" s="395"/>
      <c r="T107" s="395"/>
      <c r="U107" s="457"/>
      <c r="V107" s="457"/>
      <c r="W107" s="457"/>
      <c r="X107" s="457"/>
      <c r="Y107" s="457"/>
      <c r="Z107" s="457"/>
      <c r="AA107" s="457"/>
      <c r="AB107" s="457"/>
      <c r="AC107" s="457"/>
      <c r="AD107" s="457"/>
      <c r="AE107" s="457"/>
      <c r="AF107" s="457"/>
      <c r="AG107" s="457"/>
      <c r="AH107" s="395"/>
      <c r="AI107" s="395"/>
      <c r="AJ107" s="444"/>
      <c r="AK107" s="445"/>
      <c r="AL107" s="445"/>
    </row>
    <row r="108" spans="1:41" ht="24.75" outlineLevel="1" x14ac:dyDescent="0.4">
      <c r="E108" s="418" t="s">
        <v>174</v>
      </c>
      <c r="F108" s="419"/>
      <c r="G108" s="419"/>
      <c r="H108" s="419"/>
      <c r="I108" s="419"/>
      <c r="J108" s="420">
        <f>SUM(J107)*19%</f>
        <v>2.8577331900000003</v>
      </c>
      <c r="K108" s="420"/>
      <c r="L108" s="421"/>
      <c r="O108" s="394"/>
      <c r="P108" s="394"/>
      <c r="Q108" s="394"/>
      <c r="R108" s="394"/>
      <c r="S108" s="395"/>
      <c r="T108" s="395"/>
      <c r="U108" s="457"/>
      <c r="V108" s="457"/>
      <c r="W108" s="457"/>
      <c r="X108" s="457"/>
      <c r="Y108" s="457"/>
      <c r="Z108" s="457"/>
      <c r="AA108" s="457"/>
      <c r="AB108" s="457"/>
      <c r="AC108" s="457"/>
      <c r="AD108" s="457"/>
      <c r="AE108" s="457"/>
      <c r="AF108" s="457"/>
      <c r="AG108" s="457"/>
      <c r="AH108" s="395"/>
      <c r="AI108" s="395"/>
    </row>
    <row r="109" spans="1:41" ht="18" outlineLevel="1" x14ac:dyDescent="0.3">
      <c r="E109" s="349"/>
      <c r="J109" s="464"/>
      <c r="K109" s="464"/>
      <c r="L109" s="465"/>
      <c r="O109" s="394"/>
      <c r="P109" s="394"/>
      <c r="Q109" s="394"/>
      <c r="R109" s="394"/>
      <c r="S109" s="395"/>
      <c r="T109" s="395"/>
      <c r="U109" s="457"/>
      <c r="V109" s="457"/>
      <c r="W109" s="457"/>
      <c r="X109" s="457"/>
      <c r="Y109" s="457"/>
      <c r="Z109" s="457"/>
      <c r="AA109" s="457"/>
      <c r="AB109" s="457"/>
      <c r="AC109" s="457"/>
      <c r="AD109" s="457"/>
      <c r="AE109" s="457"/>
      <c r="AF109" s="457"/>
      <c r="AG109" s="457"/>
      <c r="AH109" s="395"/>
      <c r="AI109" s="395"/>
    </row>
    <row r="110" spans="1:41" ht="24.75" outlineLevel="1" x14ac:dyDescent="0.4">
      <c r="E110" s="466"/>
      <c r="F110" s="447"/>
      <c r="G110" s="447"/>
      <c r="H110" s="447"/>
      <c r="I110" s="467" t="s">
        <v>180</v>
      </c>
      <c r="J110" s="468">
        <f>SUM(J101:L108)</f>
        <v>507.88843419</v>
      </c>
      <c r="K110" s="468"/>
      <c r="L110" s="469"/>
      <c r="S110" s="142"/>
      <c r="T110" s="142"/>
      <c r="U110" s="470"/>
      <c r="V110" s="470"/>
      <c r="W110" s="470"/>
      <c r="X110" s="470"/>
      <c r="Y110" s="470"/>
      <c r="Z110" s="470"/>
      <c r="AA110" s="470"/>
      <c r="AB110" s="470"/>
      <c r="AC110" s="470"/>
      <c r="AD110" s="470"/>
      <c r="AE110" s="470"/>
      <c r="AF110" s="470"/>
      <c r="AG110" s="470"/>
      <c r="AH110" s="142"/>
      <c r="AI110" s="142"/>
    </row>
    <row r="111" spans="1:41" ht="23.25" outlineLevel="1" x14ac:dyDescent="0.35">
      <c r="E111" s="349"/>
      <c r="I111" s="434" t="s">
        <v>181</v>
      </c>
      <c r="J111" s="435">
        <f>SUM(J110)*100/119</f>
        <v>426.79700352100838</v>
      </c>
      <c r="K111" s="435"/>
      <c r="L111" s="436"/>
      <c r="S111" s="142"/>
      <c r="T111" s="142"/>
      <c r="U111" s="470"/>
      <c r="V111" s="470"/>
      <c r="W111" s="470"/>
      <c r="X111" s="470"/>
      <c r="Y111" s="470"/>
      <c r="Z111" s="470"/>
      <c r="AA111" s="470"/>
      <c r="AB111" s="470"/>
      <c r="AC111" s="470"/>
      <c r="AD111" s="470"/>
      <c r="AE111" s="470"/>
      <c r="AF111" s="470"/>
      <c r="AG111" s="470"/>
      <c r="AH111" s="142"/>
      <c r="AI111" s="142"/>
    </row>
    <row r="112" spans="1:41" ht="24.75" outlineLevel="1" x14ac:dyDescent="0.4">
      <c r="E112" s="437"/>
      <c r="F112" s="438"/>
      <c r="G112" s="438"/>
      <c r="H112" s="438"/>
      <c r="I112" s="439" t="s">
        <v>179</v>
      </c>
      <c r="J112" s="440">
        <f>J110-SUM(J110)*100/119</f>
        <v>81.09143066899162</v>
      </c>
      <c r="K112" s="440"/>
      <c r="L112" s="441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</row>
    <row r="113" spans="5:33" outlineLevel="1" x14ac:dyDescent="0.3"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</row>
    <row r="114" spans="5:33" outlineLevel="1" x14ac:dyDescent="0.3"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2"/>
      <c r="AF114" s="142"/>
      <c r="AG114" s="142"/>
    </row>
    <row r="115" spans="5:33" outlineLevel="1" x14ac:dyDescent="0.3"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2"/>
      <c r="AF115" s="142"/>
      <c r="AG115" s="142"/>
    </row>
    <row r="116" spans="5:33" ht="24.75" outlineLevel="1" x14ac:dyDescent="0.4">
      <c r="E116" s="471" t="s">
        <v>163</v>
      </c>
      <c r="F116" s="472"/>
      <c r="G116" s="472"/>
      <c r="H116" s="473"/>
      <c r="I116" s="473"/>
      <c r="J116" s="474"/>
      <c r="K116" s="474"/>
      <c r="L116" s="475" t="s">
        <v>165</v>
      </c>
    </row>
    <row r="117" spans="5:33" ht="24.75" outlineLevel="1" x14ac:dyDescent="0.4">
      <c r="E117" s="476"/>
      <c r="F117" s="477"/>
      <c r="G117" s="477"/>
      <c r="H117" s="477"/>
      <c r="I117" s="477"/>
      <c r="J117" s="478"/>
      <c r="K117" s="478"/>
      <c r="L117" s="479"/>
    </row>
    <row r="118" spans="5:33" ht="24.75" outlineLevel="1" x14ac:dyDescent="0.4">
      <c r="E118" s="418" t="s">
        <v>96</v>
      </c>
      <c r="F118" s="419"/>
      <c r="G118" s="419"/>
      <c r="H118" s="419"/>
      <c r="I118" s="419"/>
      <c r="J118" s="420">
        <f>J89</f>
        <v>475</v>
      </c>
      <c r="K118" s="420"/>
      <c r="L118" s="421"/>
    </row>
    <row r="119" spans="5:33" ht="24.75" outlineLevel="1" x14ac:dyDescent="0.4">
      <c r="E119" s="418" t="str">
        <f>IFERROR("Optionen: "&amp;RIGHT($E$140,LEN($E$140)-7),"")</f>
        <v/>
      </c>
      <c r="F119" s="419"/>
      <c r="G119" s="419"/>
      <c r="H119" s="419"/>
      <c r="I119" s="419"/>
      <c r="J119" s="420">
        <f>I170</f>
        <v>0</v>
      </c>
      <c r="K119" s="420"/>
      <c r="L119" s="421"/>
    </row>
    <row r="120" spans="5:33" ht="24.75" outlineLevel="1" x14ac:dyDescent="0.4">
      <c r="E120" s="418" t="s">
        <v>155</v>
      </c>
      <c r="F120" s="456"/>
      <c r="G120" s="456"/>
      <c r="H120" s="456"/>
      <c r="I120" s="419"/>
      <c r="J120" s="420">
        <f>$AJ$97</f>
        <v>0</v>
      </c>
      <c r="K120" s="420"/>
      <c r="L120" s="421"/>
      <c r="N120" s="443"/>
    </row>
    <row r="121" spans="5:33" ht="24.75" outlineLevel="1" x14ac:dyDescent="0.4">
      <c r="E121" s="418" t="s">
        <v>182</v>
      </c>
      <c r="F121" s="419"/>
      <c r="G121" s="419"/>
      <c r="H121" s="419"/>
      <c r="I121" s="419"/>
      <c r="J121" s="480">
        <f>IF($M$76&gt;0,$M$76,$M$75)</f>
        <v>14.99</v>
      </c>
      <c r="K121" s="480"/>
      <c r="L121" s="481"/>
    </row>
    <row r="122" spans="5:33" ht="21.75" customHeight="1" outlineLevel="1" x14ac:dyDescent="0.35">
      <c r="E122" s="482"/>
      <c r="F122" s="397"/>
      <c r="G122" s="397"/>
      <c r="H122" s="397"/>
      <c r="I122" s="397"/>
      <c r="J122" s="483"/>
      <c r="K122" s="483"/>
      <c r="L122" s="484"/>
    </row>
    <row r="123" spans="5:33" ht="21.75" customHeight="1" outlineLevel="1" x14ac:dyDescent="0.4">
      <c r="E123" s="461" t="s">
        <v>164</v>
      </c>
      <c r="F123" s="419"/>
      <c r="G123" s="419"/>
      <c r="H123" s="419"/>
      <c r="I123" s="419"/>
      <c r="J123" s="420"/>
      <c r="K123" s="420"/>
      <c r="L123" s="421"/>
    </row>
    <row r="124" spans="5:33" ht="24.75" customHeight="1" outlineLevel="1" x14ac:dyDescent="0.4">
      <c r="E124" s="418" t="s">
        <v>175</v>
      </c>
      <c r="F124" s="419"/>
      <c r="G124" s="419"/>
      <c r="H124" s="419"/>
      <c r="I124" s="419"/>
      <c r="J124" s="420">
        <f>SUM(J118+J119+J120+J121)*11%+0.35</f>
        <v>54.248900000000006</v>
      </c>
      <c r="K124" s="420"/>
      <c r="L124" s="421"/>
    </row>
    <row r="125" spans="5:33" ht="26.25" customHeight="1" outlineLevel="1" x14ac:dyDescent="0.4">
      <c r="E125" s="418" t="s">
        <v>176</v>
      </c>
      <c r="F125" s="419"/>
      <c r="G125" s="419"/>
      <c r="H125" s="419"/>
      <c r="I125" s="419"/>
      <c r="J125" s="420">
        <v>0.35</v>
      </c>
      <c r="K125" s="420"/>
      <c r="L125" s="421"/>
    </row>
    <row r="126" spans="5:33" ht="23.25" customHeight="1" outlineLevel="1" x14ac:dyDescent="0.45">
      <c r="E126" s="418" t="s">
        <v>177</v>
      </c>
      <c r="F126" s="419"/>
      <c r="G126" s="419"/>
      <c r="H126" s="419"/>
      <c r="I126" s="419"/>
      <c r="J126" s="420">
        <f>SUM(SUM(J124:L125)*19/100)</f>
        <v>10.373791000000001</v>
      </c>
      <c r="K126" s="420"/>
      <c r="L126" s="421"/>
      <c r="R126" s="485"/>
    </row>
    <row r="127" spans="5:33" ht="23.25" customHeight="1" outlineLevel="1" x14ac:dyDescent="0.3">
      <c r="E127" s="349"/>
      <c r="J127" s="464"/>
      <c r="K127" s="464"/>
      <c r="L127" s="465"/>
    </row>
    <row r="128" spans="5:33" ht="30" customHeight="1" outlineLevel="1" x14ac:dyDescent="0.4">
      <c r="E128" s="486"/>
      <c r="F128" s="472"/>
      <c r="G128" s="472"/>
      <c r="H128" s="472"/>
      <c r="I128" s="487" t="s">
        <v>180</v>
      </c>
      <c r="J128" s="488">
        <f>SUM(J118:L126)</f>
        <v>554.96269100000006</v>
      </c>
      <c r="K128" s="488"/>
      <c r="L128" s="489"/>
    </row>
    <row r="129" spans="2:41" ht="23.25" outlineLevel="1" x14ac:dyDescent="0.35">
      <c r="E129" s="349"/>
      <c r="I129" s="434" t="s">
        <v>181</v>
      </c>
      <c r="J129" s="435">
        <f>SUM(J128)*100/119</f>
        <v>466.35520252100844</v>
      </c>
      <c r="K129" s="435"/>
      <c r="L129" s="436"/>
    </row>
    <row r="130" spans="2:41" ht="24.75" outlineLevel="1" x14ac:dyDescent="0.4">
      <c r="E130" s="437"/>
      <c r="F130" s="438"/>
      <c r="G130" s="438"/>
      <c r="H130" s="438"/>
      <c r="I130" s="439" t="s">
        <v>179</v>
      </c>
      <c r="J130" s="440">
        <f>J128-SUM(J128)*100/119</f>
        <v>88.607488478991627</v>
      </c>
      <c r="K130" s="440"/>
      <c r="L130" s="441"/>
      <c r="R130" s="397"/>
      <c r="AK130" s="490" t="s">
        <v>148</v>
      </c>
      <c r="AL130" s="491">
        <f ca="1">TODAY()</f>
        <v>45140</v>
      </c>
      <c r="AM130" s="492"/>
      <c r="AO130" s="390"/>
    </row>
    <row r="131" spans="2:41" outlineLevel="1" x14ac:dyDescent="0.3"/>
    <row r="132" spans="2:41" hidden="1" outlineLevel="1" x14ac:dyDescent="0.3"/>
    <row r="133" spans="2:41" hidden="1" outlineLevel="1" x14ac:dyDescent="0.3"/>
    <row r="134" spans="2:41" hidden="1" outlineLevel="1" x14ac:dyDescent="0.3"/>
    <row r="135" spans="2:41" ht="18" hidden="1" x14ac:dyDescent="0.3">
      <c r="J135" s="531"/>
      <c r="K135" s="531"/>
      <c r="L135" s="531"/>
    </row>
    <row r="136" spans="2:41" ht="18" hidden="1" x14ac:dyDescent="0.3">
      <c r="J136" s="531"/>
      <c r="K136" s="531"/>
      <c r="L136" s="531"/>
    </row>
    <row r="137" spans="2:41" hidden="1" x14ac:dyDescent="0.3"/>
    <row r="138" spans="2:41" hidden="1" x14ac:dyDescent="0.3"/>
    <row r="139" spans="2:41" hidden="1" x14ac:dyDescent="0.3">
      <c r="C139" s="105" t="s">
        <v>81</v>
      </c>
      <c r="E139" s="532" t="str">
        <f>CONCATENATE(R2,AF75,C141,C142,C143,C144,C145,C146,C147,C148,C149,C150,C151,C152,C153,C154,C155,C156,C157,C158,C159,C160,C161,C162,C163,C164,C165,C166,C167,C168,C169)</f>
        <v>BW2-XX-</v>
      </c>
      <c r="F139" s="532"/>
      <c r="G139" s="532"/>
      <c r="H139" s="532"/>
      <c r="R139" s="105" t="s">
        <v>81</v>
      </c>
      <c r="U139" s="532"/>
      <c r="V139" s="532"/>
      <c r="W139" s="532"/>
      <c r="X139" s="532"/>
      <c r="Y139" s="532"/>
      <c r="Z139" s="532"/>
      <c r="AA139" s="532"/>
      <c r="AB139" s="532"/>
      <c r="AC139" s="532"/>
      <c r="AD139" s="532"/>
      <c r="AE139" s="532"/>
      <c r="AF139" s="532"/>
      <c r="AG139" s="532"/>
      <c r="AH139" s="532"/>
      <c r="AI139" s="532"/>
      <c r="AJ139" s="533">
        <f>SUM(AJ141:AJ146)</f>
        <v>0</v>
      </c>
      <c r="AK139" s="105"/>
      <c r="AM139" s="142"/>
      <c r="AN139" s="142"/>
      <c r="AO139" s="142"/>
    </row>
    <row r="140" spans="2:41" hidden="1" x14ac:dyDescent="0.3">
      <c r="C140" s="351" t="s">
        <v>99</v>
      </c>
      <c r="E140" s="534" t="str">
        <f>LEFT(E139,LEN(E139)-1)</f>
        <v>BW2-XX</v>
      </c>
      <c r="I140" s="535" t="s">
        <v>100</v>
      </c>
      <c r="K140" s="351" t="s">
        <v>109</v>
      </c>
      <c r="L140" s="535"/>
      <c r="M140" s="535" t="s">
        <v>187</v>
      </c>
      <c r="N140" s="536" t="s">
        <v>79</v>
      </c>
      <c r="O140" s="537"/>
      <c r="R140" s="351" t="s">
        <v>99</v>
      </c>
      <c r="U140" s="534"/>
      <c r="V140" s="534"/>
      <c r="W140" s="534"/>
      <c r="X140" s="534"/>
      <c r="Y140" s="534"/>
      <c r="Z140" s="534"/>
      <c r="AA140" s="534"/>
      <c r="AB140" s="534"/>
      <c r="AC140" s="534"/>
      <c r="AD140" s="534"/>
      <c r="AE140" s="534"/>
      <c r="AF140" s="534"/>
      <c r="AJ140" s="535" t="s">
        <v>152</v>
      </c>
      <c r="AK140" s="105"/>
      <c r="AL140" s="105" t="s">
        <v>109</v>
      </c>
      <c r="AM140" s="142"/>
      <c r="AN140" s="142"/>
      <c r="AO140" s="142"/>
    </row>
    <row r="141" spans="2:41" hidden="1" x14ac:dyDescent="0.3">
      <c r="B141" s="105" t="str">
        <f>IF(C141&gt;"",1,"")</f>
        <v/>
      </c>
      <c r="C141" s="538" t="str">
        <f>IF(P13="x",Q13,"")</f>
        <v/>
      </c>
      <c r="D141" s="539" t="str">
        <f>IF(P13="x",R13&amp;R14,"")</f>
        <v/>
      </c>
      <c r="E141" s="540"/>
      <c r="F141" s="213"/>
      <c r="G141" s="213"/>
      <c r="H141" s="311"/>
      <c r="I141" s="541" t="str">
        <f>IF(P13="x",Y13,"")</f>
        <v/>
      </c>
      <c r="J141" s="105" t="str">
        <f>IF(C141&gt;"",1,"")</f>
        <v/>
      </c>
      <c r="K141" s="105">
        <v>1</v>
      </c>
      <c r="M141" s="542">
        <v>14182</v>
      </c>
      <c r="N141" s="543" t="str">
        <f>IF(J141=1,VLOOKUP(M141,#REF!,6,FALSE),"")</f>
        <v/>
      </c>
      <c r="O141" s="544"/>
      <c r="P141" s="545"/>
      <c r="Q141" s="105" t="str">
        <f>IF(R141&gt;"",1,"")</f>
        <v/>
      </c>
      <c r="R141" s="546" t="str">
        <f t="shared" ref="R141:R147" si="4">IF(O54="x",P54,"")</f>
        <v/>
      </c>
      <c r="S141" s="547"/>
      <c r="T141" s="548"/>
      <c r="U141" s="548"/>
      <c r="V141" s="548"/>
      <c r="W141" s="548"/>
      <c r="X141" s="548"/>
      <c r="Y141" s="548"/>
      <c r="Z141" s="548"/>
      <c r="AA141" s="548"/>
      <c r="AB141" s="548"/>
      <c r="AC141" s="548"/>
      <c r="AD141" s="548"/>
      <c r="AE141" s="548"/>
      <c r="AF141" s="548"/>
      <c r="AG141" s="549"/>
      <c r="AH141" s="549"/>
      <c r="AI141" s="550"/>
      <c r="AJ141" s="541" t="str">
        <f t="shared" ref="AJ141:AJ147" si="5">IF(O54="x",S54,"")</f>
        <v/>
      </c>
      <c r="AK141" s="105" t="str">
        <f t="shared" ref="AK141:AK149" si="6">IF(R141&gt;"",1,"")</f>
        <v/>
      </c>
      <c r="AL141" s="105">
        <v>1</v>
      </c>
      <c r="AM141" s="142"/>
      <c r="AN141" s="142"/>
      <c r="AO141" s="142"/>
    </row>
    <row r="142" spans="2:41" hidden="1" x14ac:dyDescent="0.3">
      <c r="B142" s="105" t="str">
        <f>IF(C142&gt;"",SUM(J141)+1,"")</f>
        <v/>
      </c>
      <c r="C142" s="551" t="str">
        <f>IF(AD3="x",AE3,"")</f>
        <v/>
      </c>
      <c r="D142" s="552" t="str">
        <f>IF(AD3="x",AF3&amp;AF4&amp;AF5,"")</f>
        <v/>
      </c>
      <c r="E142" s="553"/>
      <c r="H142" s="276"/>
      <c r="I142" s="554" t="str">
        <f>IF(AD3="x",AN3,"")</f>
        <v/>
      </c>
      <c r="J142" s="105" t="str">
        <f>IF(C142&gt;"",1,"")</f>
        <v/>
      </c>
      <c r="K142" s="105">
        <f>K141+1</f>
        <v>2</v>
      </c>
      <c r="M142" s="105">
        <v>15220</v>
      </c>
      <c r="N142" s="543" t="str">
        <f>IF(J142=1,VLOOKUP(M142,#REF!,6,FALSE),"")</f>
        <v/>
      </c>
      <c r="O142" s="544"/>
      <c r="Q142" s="105" t="str">
        <f>IF(R142&gt;"",SUM(AK141)+1,"")</f>
        <v/>
      </c>
      <c r="R142" s="546" t="str">
        <f t="shared" si="4"/>
        <v/>
      </c>
      <c r="S142" s="547"/>
      <c r="T142" s="555"/>
      <c r="U142" s="555"/>
      <c r="V142" s="555"/>
      <c r="W142" s="555"/>
      <c r="X142" s="555"/>
      <c r="Y142" s="555"/>
      <c r="Z142" s="555"/>
      <c r="AA142" s="555"/>
      <c r="AB142" s="555"/>
      <c r="AC142" s="555"/>
      <c r="AD142" s="555"/>
      <c r="AE142" s="555"/>
      <c r="AF142" s="555"/>
      <c r="AG142" s="190"/>
      <c r="AH142" s="190"/>
      <c r="AI142" s="191"/>
      <c r="AJ142" s="541" t="str">
        <f t="shared" si="5"/>
        <v/>
      </c>
      <c r="AK142" s="105" t="str">
        <f t="shared" si="6"/>
        <v/>
      </c>
      <c r="AL142" s="105">
        <f t="shared" ref="AL142:AL149" si="7">AL141+1</f>
        <v>2</v>
      </c>
      <c r="AM142" s="142"/>
      <c r="AN142" s="142"/>
      <c r="AO142" s="142"/>
    </row>
    <row r="143" spans="2:41" hidden="1" x14ac:dyDescent="0.3">
      <c r="B143" s="105" t="str">
        <f>IF(C143&gt;"",SUM(J141:J142)+1,"")</f>
        <v/>
      </c>
      <c r="C143" s="551" t="str">
        <f>IF(G23="x",H23,"")</f>
        <v/>
      </c>
      <c r="D143" s="552" t="str">
        <f>IF(G23="x",I23&amp;I24,"")</f>
        <v/>
      </c>
      <c r="E143" s="553"/>
      <c r="H143" s="276"/>
      <c r="I143" s="554" t="str">
        <f>IF(G23="x",K23,"")</f>
        <v/>
      </c>
      <c r="J143" s="105" t="str">
        <f>IF(C143&gt;"",1,"")</f>
        <v/>
      </c>
      <c r="K143" s="105">
        <f t="shared" ref="K143:K150" si="8">K142+1</f>
        <v>3</v>
      </c>
      <c r="M143" s="142" t="s">
        <v>83</v>
      </c>
      <c r="N143" s="543" t="str">
        <f>IF(J143=1,VLOOKUP(M143,#REF!,6,FALSE),"")</f>
        <v/>
      </c>
      <c r="O143" s="544"/>
      <c r="Q143" s="105" t="str">
        <f>IF(R143&gt;"",SUM(AK141:AK142)+1,"")</f>
        <v/>
      </c>
      <c r="R143" s="546" t="str">
        <f t="shared" si="4"/>
        <v/>
      </c>
      <c r="S143" s="547"/>
      <c r="T143" s="555"/>
      <c r="U143" s="555"/>
      <c r="V143" s="555"/>
      <c r="W143" s="555"/>
      <c r="X143" s="555"/>
      <c r="Y143" s="555"/>
      <c r="Z143" s="555"/>
      <c r="AA143" s="555"/>
      <c r="AB143" s="555"/>
      <c r="AC143" s="555"/>
      <c r="AD143" s="555"/>
      <c r="AE143" s="555"/>
      <c r="AF143" s="555"/>
      <c r="AG143" s="190"/>
      <c r="AH143" s="190"/>
      <c r="AI143" s="191"/>
      <c r="AJ143" s="556" t="str">
        <f t="shared" si="5"/>
        <v/>
      </c>
      <c r="AK143" s="105" t="str">
        <f t="shared" si="6"/>
        <v/>
      </c>
      <c r="AL143" s="105">
        <f t="shared" si="7"/>
        <v>3</v>
      </c>
      <c r="AM143" s="142"/>
      <c r="AN143" s="142"/>
      <c r="AO143" s="142"/>
    </row>
    <row r="144" spans="2:41" hidden="1" x14ac:dyDescent="0.3">
      <c r="B144" s="105" t="str">
        <f>IF(C144&gt;"",SUM(J141:J143)+1,"")</f>
        <v/>
      </c>
      <c r="C144" s="551" t="str">
        <f>IF(B31="x",C31,"")</f>
        <v/>
      </c>
      <c r="D144" s="552" t="str">
        <f>IF(B31="x",D31,"")</f>
        <v/>
      </c>
      <c r="E144" s="553"/>
      <c r="H144" s="276"/>
      <c r="I144" s="554" t="str">
        <f>IF(B31="x",I31,"")</f>
        <v/>
      </c>
      <c r="J144" s="105" t="str">
        <f>IF(C144&gt;"",1,"")</f>
        <v/>
      </c>
      <c r="K144" s="105">
        <f t="shared" si="8"/>
        <v>4</v>
      </c>
      <c r="M144" s="142" t="s">
        <v>83</v>
      </c>
      <c r="N144" s="543" t="str">
        <f>IF(J144=1,VLOOKUP(M144,#REF!,6,FALSE),"")</f>
        <v/>
      </c>
      <c r="O144" s="544"/>
      <c r="Q144" s="105" t="str">
        <f>IF(R144&gt;"",SUM(AK141:AK143)+1,"")</f>
        <v/>
      </c>
      <c r="R144" s="557" t="str">
        <f t="shared" si="4"/>
        <v/>
      </c>
      <c r="S144" s="547"/>
      <c r="T144" s="555"/>
      <c r="U144" s="555"/>
      <c r="V144" s="555"/>
      <c r="W144" s="555"/>
      <c r="X144" s="555"/>
      <c r="Y144" s="555"/>
      <c r="Z144" s="555"/>
      <c r="AA144" s="555"/>
      <c r="AB144" s="555"/>
      <c r="AC144" s="555"/>
      <c r="AD144" s="555"/>
      <c r="AE144" s="555"/>
      <c r="AF144" s="555"/>
      <c r="AG144" s="190"/>
      <c r="AH144" s="190"/>
      <c r="AI144" s="191"/>
      <c r="AJ144" s="556" t="str">
        <f t="shared" si="5"/>
        <v/>
      </c>
      <c r="AK144" s="105" t="str">
        <f t="shared" si="6"/>
        <v/>
      </c>
      <c r="AL144" s="105">
        <f t="shared" si="7"/>
        <v>4</v>
      </c>
      <c r="AM144" s="142"/>
      <c r="AN144" s="142"/>
      <c r="AO144" s="142"/>
    </row>
    <row r="145" spans="2:41" hidden="1" x14ac:dyDescent="0.3">
      <c r="B145" s="105" t="str">
        <f>IF(C145&gt;"",SUM(J141:J144)+1,"")</f>
        <v/>
      </c>
      <c r="C145" s="551" t="str">
        <f>IF(B36="x",C36,"")</f>
        <v/>
      </c>
      <c r="D145" s="552" t="str">
        <f>IF(B36="x",D36,"")</f>
        <v/>
      </c>
      <c r="E145" s="553"/>
      <c r="H145" s="276"/>
      <c r="I145" s="554" t="str">
        <f>IF(B36="x",I36,"")</f>
        <v/>
      </c>
      <c r="J145" s="105" t="str">
        <f>IF(C145&gt;"",1,"")</f>
        <v/>
      </c>
      <c r="K145" s="105">
        <f t="shared" si="8"/>
        <v>5</v>
      </c>
      <c r="M145" s="105">
        <v>15215</v>
      </c>
      <c r="N145" s="543" t="str">
        <f>IF(J145=1,VLOOKUP(M145,#REF!,6,FALSE),"")</f>
        <v/>
      </c>
      <c r="O145" s="544"/>
      <c r="Q145" s="105" t="str">
        <f>IF(R145&gt;"",SUM(AK141:AK144)+1,"")</f>
        <v/>
      </c>
      <c r="R145" s="557" t="str">
        <f t="shared" si="4"/>
        <v/>
      </c>
      <c r="S145" s="547"/>
      <c r="T145" s="555"/>
      <c r="U145" s="555"/>
      <c r="V145" s="555"/>
      <c r="W145" s="555"/>
      <c r="X145" s="555"/>
      <c r="Y145" s="555"/>
      <c r="Z145" s="555"/>
      <c r="AA145" s="555"/>
      <c r="AB145" s="555"/>
      <c r="AC145" s="555"/>
      <c r="AD145" s="555"/>
      <c r="AE145" s="555"/>
      <c r="AF145" s="555"/>
      <c r="AG145" s="190"/>
      <c r="AH145" s="190"/>
      <c r="AI145" s="191"/>
      <c r="AJ145" s="556" t="str">
        <f t="shared" si="5"/>
        <v/>
      </c>
      <c r="AK145" s="105" t="str">
        <f t="shared" si="6"/>
        <v/>
      </c>
      <c r="AL145" s="105">
        <f t="shared" si="7"/>
        <v>5</v>
      </c>
      <c r="AM145" s="142"/>
      <c r="AN145" s="142"/>
      <c r="AO145" s="142"/>
    </row>
    <row r="146" spans="2:41" hidden="1" x14ac:dyDescent="0.3">
      <c r="B146" s="105" t="str">
        <f>IF(C146&gt;"",SUM(J141:J145)+1,"")</f>
        <v/>
      </c>
      <c r="C146" s="551" t="str">
        <f>IF(AD12="x",AE12,"")</f>
        <v/>
      </c>
      <c r="D146" s="552" t="str">
        <f>IF(AD12="x",AF12,"")</f>
        <v/>
      </c>
      <c r="E146" s="553"/>
      <c r="H146" s="276"/>
      <c r="I146" s="554" t="str">
        <f>IF(AD12="x",AN12,"")</f>
        <v/>
      </c>
      <c r="J146" s="105" t="str">
        <f t="shared" ref="J146:J169" si="9">IF(C146&gt;"",1,"")</f>
        <v/>
      </c>
      <c r="K146" s="105">
        <f t="shared" si="8"/>
        <v>6</v>
      </c>
      <c r="M146" s="105">
        <v>15215</v>
      </c>
      <c r="N146" s="543" t="str">
        <f>IF(J146=1,VLOOKUP(M146,#REF!,6,FALSE),"")</f>
        <v/>
      </c>
      <c r="O146" s="544"/>
      <c r="Q146" s="105" t="str">
        <f>IF(R146&gt;"",SUM(AK141:AK145)+1,"")</f>
        <v/>
      </c>
      <c r="R146" s="557" t="str">
        <f t="shared" si="4"/>
        <v/>
      </c>
      <c r="S146" s="547"/>
      <c r="T146" s="555"/>
      <c r="U146" s="555"/>
      <c r="V146" s="555"/>
      <c r="W146" s="555"/>
      <c r="X146" s="555"/>
      <c r="Y146" s="555"/>
      <c r="Z146" s="555"/>
      <c r="AA146" s="555"/>
      <c r="AB146" s="555"/>
      <c r="AC146" s="555"/>
      <c r="AD146" s="555"/>
      <c r="AE146" s="555"/>
      <c r="AF146" s="555"/>
      <c r="AG146" s="190"/>
      <c r="AH146" s="190"/>
      <c r="AI146" s="191"/>
      <c r="AJ146" s="556" t="str">
        <f t="shared" si="5"/>
        <v/>
      </c>
      <c r="AK146" s="105" t="str">
        <f t="shared" si="6"/>
        <v/>
      </c>
      <c r="AL146" s="105">
        <f t="shared" si="7"/>
        <v>6</v>
      </c>
      <c r="AM146" s="142"/>
      <c r="AN146" s="142"/>
      <c r="AO146" s="142"/>
    </row>
    <row r="147" spans="2:41" hidden="1" x14ac:dyDescent="0.3">
      <c r="B147" s="105" t="str">
        <f>IF(C147&gt;"",SUM(J141:J146)+1,"")</f>
        <v/>
      </c>
      <c r="C147" s="551" t="str">
        <f>IF(AD13="x",AE13,"")</f>
        <v/>
      </c>
      <c r="D147" s="552" t="str">
        <f>IF(AD13="x",AF13,"")</f>
        <v/>
      </c>
      <c r="E147" s="553"/>
      <c r="H147" s="276"/>
      <c r="I147" s="554" t="str">
        <f>IF(AD13="x",AN13,"")</f>
        <v/>
      </c>
      <c r="J147" s="105" t="str">
        <f t="shared" si="9"/>
        <v/>
      </c>
      <c r="K147" s="105">
        <f t="shared" si="8"/>
        <v>7</v>
      </c>
      <c r="M147" s="105">
        <v>15023</v>
      </c>
      <c r="N147" s="543" t="str">
        <f>IF(J147=1,VLOOKUP(M147,#REF!,6,FALSE),"")</f>
        <v/>
      </c>
      <c r="O147" s="544"/>
      <c r="Q147" s="105" t="str">
        <f>IF(R147&gt;"",SUM(AK141:AK146)+1,"")</f>
        <v/>
      </c>
      <c r="R147" s="557" t="str">
        <f t="shared" si="4"/>
        <v/>
      </c>
      <c r="S147" s="547"/>
      <c r="T147" s="555"/>
      <c r="U147" s="555"/>
      <c r="V147" s="555"/>
      <c r="W147" s="555"/>
      <c r="X147" s="555"/>
      <c r="Y147" s="555"/>
      <c r="Z147" s="555"/>
      <c r="AA147" s="555"/>
      <c r="AB147" s="555"/>
      <c r="AC147" s="555"/>
      <c r="AD147" s="555"/>
      <c r="AE147" s="555"/>
      <c r="AF147" s="555"/>
      <c r="AG147" s="190"/>
      <c r="AH147" s="190"/>
      <c r="AI147" s="191"/>
      <c r="AJ147" s="556" t="str">
        <f t="shared" si="5"/>
        <v/>
      </c>
      <c r="AK147" s="105" t="str">
        <f t="shared" si="6"/>
        <v/>
      </c>
      <c r="AL147" s="105">
        <f t="shared" si="7"/>
        <v>7</v>
      </c>
      <c r="AM147" s="142"/>
      <c r="AN147" s="142"/>
      <c r="AO147" s="142"/>
    </row>
    <row r="148" spans="2:41" hidden="1" x14ac:dyDescent="0.3">
      <c r="B148" s="105" t="str">
        <f>IF(C148&gt;"",SUM(J141:J147)+1,"")</f>
        <v/>
      </c>
      <c r="C148" s="551" t="str">
        <f>IF(K31="x",L31,"")</f>
        <v/>
      </c>
      <c r="D148" s="552" t="str">
        <f>IF(K31="x",M31&amp; M32,"")</f>
        <v/>
      </c>
      <c r="E148" s="553"/>
      <c r="H148" s="276"/>
      <c r="I148" s="554" t="str">
        <f>IF(K31="x",S31,"")</f>
        <v/>
      </c>
      <c r="J148" s="105" t="str">
        <f t="shared" si="9"/>
        <v/>
      </c>
      <c r="K148" s="105">
        <f t="shared" si="8"/>
        <v>8</v>
      </c>
      <c r="L148" s="105"/>
      <c r="M148" s="105">
        <v>14064</v>
      </c>
      <c r="N148" s="543" t="str">
        <f>IF(J148=1,VLOOKUP(M148,#REF!,6,FALSE),"")</f>
        <v/>
      </c>
      <c r="O148" s="544"/>
      <c r="Q148" s="105" t="str">
        <f>IF(R148&gt;"",SUM(AK141:AK147)+1,"")</f>
        <v/>
      </c>
      <c r="R148" s="557" t="str">
        <f t="shared" ref="R148:R149" si="10">IF(O61="x",P61,"")</f>
        <v/>
      </c>
      <c r="S148" s="547"/>
      <c r="T148" s="555"/>
      <c r="U148" s="555"/>
      <c r="V148" s="555"/>
      <c r="W148" s="555"/>
      <c r="X148" s="555"/>
      <c r="Y148" s="555"/>
      <c r="Z148" s="555"/>
      <c r="AA148" s="555"/>
      <c r="AB148" s="555"/>
      <c r="AC148" s="555"/>
      <c r="AD148" s="555"/>
      <c r="AE148" s="555"/>
      <c r="AF148" s="555"/>
      <c r="AG148" s="190"/>
      <c r="AH148" s="190"/>
      <c r="AI148" s="191"/>
      <c r="AJ148" s="556" t="str">
        <f t="shared" ref="AJ148:AJ149" si="11">IF(O61="x",S61,"")</f>
        <v/>
      </c>
      <c r="AK148" s="105" t="str">
        <f t="shared" si="6"/>
        <v/>
      </c>
      <c r="AL148" s="105">
        <f t="shared" si="7"/>
        <v>8</v>
      </c>
      <c r="AM148" s="142"/>
      <c r="AN148" s="142"/>
      <c r="AO148" s="142"/>
    </row>
    <row r="149" spans="2:41" hidden="1" x14ac:dyDescent="0.3">
      <c r="B149" s="105" t="str">
        <f>IF(C149&gt;"",SUM(J141:J148)+1,"")</f>
        <v/>
      </c>
      <c r="C149" s="551" t="str">
        <f>IF(K40="x",L40,"")</f>
        <v/>
      </c>
      <c r="D149" s="552" t="str">
        <f>IF(K40="x",M40,"")</f>
        <v/>
      </c>
      <c r="E149" s="553"/>
      <c r="H149" s="276"/>
      <c r="I149" s="554" t="str">
        <f>IF(K40="x",S40,"")</f>
        <v/>
      </c>
      <c r="J149" s="105" t="str">
        <f t="shared" si="9"/>
        <v/>
      </c>
      <c r="K149" s="105">
        <f t="shared" si="8"/>
        <v>9</v>
      </c>
      <c r="M149" s="105">
        <v>15215</v>
      </c>
      <c r="N149" s="543" t="str">
        <f>IF(J149=1,VLOOKUP(M149,#REF!,6,FALSE),"")</f>
        <v/>
      </c>
      <c r="O149" s="544"/>
      <c r="Q149" s="105" t="str">
        <f>IF(R149&gt;"",SUM(AK141:AK148)+1,"")</f>
        <v/>
      </c>
      <c r="R149" s="557" t="str">
        <f t="shared" si="10"/>
        <v/>
      </c>
      <c r="S149" s="547"/>
      <c r="T149" s="555"/>
      <c r="U149" s="555"/>
      <c r="V149" s="555"/>
      <c r="W149" s="555"/>
      <c r="X149" s="555"/>
      <c r="Y149" s="555"/>
      <c r="Z149" s="555"/>
      <c r="AA149" s="555"/>
      <c r="AB149" s="555"/>
      <c r="AC149" s="555"/>
      <c r="AD149" s="555"/>
      <c r="AE149" s="555"/>
      <c r="AF149" s="555"/>
      <c r="AG149" s="190"/>
      <c r="AH149" s="190"/>
      <c r="AI149" s="191"/>
      <c r="AJ149" s="556" t="str">
        <f t="shared" si="11"/>
        <v/>
      </c>
      <c r="AK149" s="105" t="str">
        <f t="shared" si="6"/>
        <v/>
      </c>
      <c r="AL149" s="105">
        <f t="shared" si="7"/>
        <v>9</v>
      </c>
      <c r="AM149" s="142"/>
      <c r="AN149" s="142"/>
      <c r="AO149" s="142"/>
    </row>
    <row r="150" spans="2:41" hidden="1" x14ac:dyDescent="0.3">
      <c r="B150" s="105" t="str">
        <f>IF(C150&gt;"",SUM(J141:J149)+1,"")</f>
        <v/>
      </c>
      <c r="C150" s="551" t="str">
        <f>IF(K41="x",L41,"")</f>
        <v/>
      </c>
      <c r="D150" s="552" t="str">
        <f>IF(K41="x",M41,"")</f>
        <v/>
      </c>
      <c r="E150" s="553"/>
      <c r="H150" s="276"/>
      <c r="I150" s="554" t="str">
        <f>IF(K41="x",S41,"")</f>
        <v/>
      </c>
      <c r="J150" s="105" t="str">
        <f t="shared" si="9"/>
        <v/>
      </c>
      <c r="K150" s="105">
        <f t="shared" si="8"/>
        <v>10</v>
      </c>
      <c r="L150" s="105"/>
      <c r="M150" s="105">
        <v>15023</v>
      </c>
      <c r="N150" s="543" t="str">
        <f>IF(J150=1,VLOOKUP(M150,#REF!,6,FALSE),"")</f>
        <v/>
      </c>
      <c r="O150" s="544"/>
      <c r="AL150" s="142"/>
      <c r="AM150" s="142"/>
      <c r="AN150" s="142"/>
      <c r="AO150" s="142"/>
    </row>
    <row r="151" spans="2:41" hidden="1" x14ac:dyDescent="0.3">
      <c r="B151" s="105" t="str">
        <f>IF(C151&gt;"",SUM(J141:J150)+1,"")</f>
        <v/>
      </c>
      <c r="C151" s="551" t="str">
        <f>IF(AA24="x",AB24,"")</f>
        <v/>
      </c>
      <c r="D151" s="552" t="str">
        <f>IF(AA24="x",AC23&amp; AC24,"")</f>
        <v/>
      </c>
      <c r="E151" s="553"/>
      <c r="H151" s="276"/>
      <c r="I151" s="554" t="str">
        <f>IF(AA24="x",AJ24,"")</f>
        <v/>
      </c>
      <c r="J151" s="105" t="str">
        <f>IF(C151&gt;"",1,"")</f>
        <v/>
      </c>
      <c r="K151" s="105">
        <f>K150+1</f>
        <v>11</v>
      </c>
      <c r="M151" s="105">
        <v>14192</v>
      </c>
      <c r="N151" s="543" t="str">
        <f>IF(J151=1,VLOOKUP(M151,#REF!,6,FALSE),"")</f>
        <v/>
      </c>
      <c r="O151" s="544"/>
    </row>
    <row r="152" spans="2:41" hidden="1" x14ac:dyDescent="0.3">
      <c r="B152" s="105" t="str">
        <f>IF(C152&gt;"",SUM(J141:J151)+1,"")</f>
        <v/>
      </c>
      <c r="C152" s="551" t="str">
        <f>IF(AA25="x",AB25,"")</f>
        <v/>
      </c>
      <c r="D152" s="552" t="str">
        <f>IF(AA25="x",AC23&amp; AC25,"")</f>
        <v/>
      </c>
      <c r="E152" s="553"/>
      <c r="H152" s="276"/>
      <c r="I152" s="554" t="str">
        <f>IF(AA25="x",AJ25,"")</f>
        <v/>
      </c>
      <c r="J152" s="105" t="str">
        <f>IF(C152&gt;"",1,"")</f>
        <v/>
      </c>
      <c r="K152" s="105">
        <f t="shared" ref="K152:K169" si="12">K151+1</f>
        <v>12</v>
      </c>
      <c r="M152" s="105">
        <v>15003</v>
      </c>
      <c r="N152" s="543" t="str">
        <f>IF(J152=1,VLOOKUP(M152,#REF!,6,FALSE),"")</f>
        <v/>
      </c>
      <c r="O152" s="544"/>
    </row>
    <row r="153" spans="2:41" hidden="1" x14ac:dyDescent="0.3">
      <c r="B153" s="105" t="str">
        <f>IF(C153&gt;"",SUM(J141:J151)+1,"")</f>
        <v/>
      </c>
      <c r="C153" s="551" t="str">
        <f>IF(AA33="x",AB33,"")</f>
        <v/>
      </c>
      <c r="D153" s="552" t="str">
        <f>IF(AA33="x",AC33,"")</f>
        <v/>
      </c>
      <c r="E153" s="553"/>
      <c r="H153" s="276"/>
      <c r="I153" s="554" t="str">
        <f>IF(AA33="x",AJ33,"")</f>
        <v/>
      </c>
      <c r="J153" s="105" t="str">
        <f t="shared" si="9"/>
        <v/>
      </c>
      <c r="K153" s="105">
        <f t="shared" si="12"/>
        <v>13</v>
      </c>
      <c r="M153" s="105">
        <v>14084</v>
      </c>
      <c r="N153" s="543" t="str">
        <f>IF(J153=1,VLOOKUP(M153,#REF!,6,FALSE),"")</f>
        <v/>
      </c>
      <c r="O153" s="544"/>
    </row>
    <row r="154" spans="2:41" hidden="1" x14ac:dyDescent="0.3">
      <c r="B154" s="105" t="str">
        <f>IF(C154&gt;"",SUM(J141:J153)+1,"")</f>
        <v/>
      </c>
      <c r="C154" s="551" t="str">
        <f>IF(V39="x",W39,"")</f>
        <v/>
      </c>
      <c r="D154" s="552" t="str">
        <f>IF(V39="x",X39&amp; X40,"")</f>
        <v/>
      </c>
      <c r="E154" s="553"/>
      <c r="H154" s="276"/>
      <c r="I154" s="554" t="str">
        <f>IF(V39="x",AF39,"")</f>
        <v/>
      </c>
      <c r="J154" s="105" t="str">
        <f t="shared" si="9"/>
        <v/>
      </c>
      <c r="K154" s="105">
        <f t="shared" si="12"/>
        <v>14</v>
      </c>
      <c r="M154" s="105">
        <v>14192</v>
      </c>
      <c r="N154" s="543" t="str">
        <f>IF(J154=1,VLOOKUP(M154,#REF!,6,FALSE),"")</f>
        <v/>
      </c>
      <c r="O154" s="544"/>
    </row>
    <row r="155" spans="2:41" hidden="1" x14ac:dyDescent="0.3">
      <c r="B155" s="105" t="str">
        <f>IF(C155&gt;"",SUM(J141:J154)+1,"")</f>
        <v/>
      </c>
      <c r="C155" s="551" t="str">
        <f>IF(V49="x",W49,"")</f>
        <v/>
      </c>
      <c r="D155" s="552" t="str">
        <f>IF(V49="x",X49,"")</f>
        <v/>
      </c>
      <c r="E155" s="553"/>
      <c r="H155" s="276"/>
      <c r="I155" s="554" t="str">
        <f>IF(V49="x",AF49,"")</f>
        <v/>
      </c>
      <c r="J155" s="105" t="str">
        <f t="shared" si="9"/>
        <v/>
      </c>
      <c r="K155" s="105">
        <f t="shared" si="12"/>
        <v>15</v>
      </c>
      <c r="M155" s="105">
        <v>14083</v>
      </c>
      <c r="N155" s="543" t="str">
        <f>IF(J155=1,VLOOKUP(M155,#REF!,6,FALSE),"")</f>
        <v/>
      </c>
      <c r="O155" s="544"/>
    </row>
    <row r="156" spans="2:41" hidden="1" x14ac:dyDescent="0.3">
      <c r="B156" s="105" t="str">
        <f>IF(C156&gt;"",SUM(J141:J155)+1,"")</f>
        <v/>
      </c>
      <c r="C156" s="551" t="str">
        <f>IF(V50="x",W50,"")</f>
        <v/>
      </c>
      <c r="D156" s="552" t="str">
        <f>IF(V50="x",X50,"")</f>
        <v/>
      </c>
      <c r="E156" s="553"/>
      <c r="H156" s="276"/>
      <c r="I156" s="554" t="str">
        <f>IF(V50="x",AF50,"")</f>
        <v/>
      </c>
      <c r="J156" s="105" t="str">
        <f t="shared" si="9"/>
        <v/>
      </c>
      <c r="K156" s="105">
        <f t="shared" si="12"/>
        <v>16</v>
      </c>
      <c r="M156" s="105">
        <v>15216</v>
      </c>
      <c r="N156" s="543" t="str">
        <f>IF(J156=1,VLOOKUP(M156,#REF!,6,FALSE),"")</f>
        <v/>
      </c>
      <c r="O156" s="544"/>
    </row>
    <row r="157" spans="2:41" hidden="1" x14ac:dyDescent="0.3">
      <c r="B157" s="105" t="str">
        <f>IF(C157&gt;"",SUM(J141:J156)+1,"")</f>
        <v/>
      </c>
      <c r="C157" s="551" t="str">
        <f>IF(AH39="x",AI39,"")</f>
        <v/>
      </c>
      <c r="D157" s="552" t="str">
        <f>IF(AH39="x",AJ39&amp; AJ40,"")</f>
        <v/>
      </c>
      <c r="E157" s="553"/>
      <c r="H157" s="276"/>
      <c r="I157" s="554" t="str">
        <f>IF(AH39="x",AN39,"")</f>
        <v/>
      </c>
      <c r="J157" s="105" t="str">
        <f t="shared" si="9"/>
        <v/>
      </c>
      <c r="K157" s="105">
        <f t="shared" si="12"/>
        <v>17</v>
      </c>
      <c r="M157" s="105">
        <v>14064</v>
      </c>
      <c r="N157" s="543" t="str">
        <f>IF(J157=1,VLOOKUP(M157,#REF!,6,FALSE),"")</f>
        <v/>
      </c>
      <c r="O157" s="544"/>
    </row>
    <row r="158" spans="2:41" hidden="1" x14ac:dyDescent="0.3">
      <c r="B158" s="105" t="str">
        <f>IF(C158&gt;"",SUM(J141:J157)+1,"")</f>
        <v/>
      </c>
      <c r="C158" s="551" t="str">
        <f>IF(V56="x",W56,"")</f>
        <v/>
      </c>
      <c r="D158" s="552" t="str">
        <f>IF(V56="x",X56&amp; X57,"")</f>
        <v/>
      </c>
      <c r="E158" s="553"/>
      <c r="H158" s="276"/>
      <c r="I158" s="554" t="str">
        <f>IF(V56="x",AF56,"")</f>
        <v/>
      </c>
      <c r="J158" s="105" t="str">
        <f t="shared" si="9"/>
        <v/>
      </c>
      <c r="K158" s="105">
        <f t="shared" si="12"/>
        <v>18</v>
      </c>
      <c r="L158" s="105"/>
      <c r="M158" s="105">
        <v>14093</v>
      </c>
      <c r="N158" s="543" t="str">
        <f>IF(J158=1,VLOOKUP(M158,#REF!,6,FALSE),"")</f>
        <v/>
      </c>
      <c r="O158" s="544"/>
    </row>
    <row r="159" spans="2:41" hidden="1" x14ac:dyDescent="0.3">
      <c r="B159" s="105" t="str">
        <f>IF(C159&gt;"",SUM(J141:J158)+1,"")</f>
        <v/>
      </c>
      <c r="C159" s="551" t="str">
        <f>IF(V66="x",W66,"")</f>
        <v/>
      </c>
      <c r="D159" s="552" t="str">
        <f>IF(V66="x",X66,"")</f>
        <v/>
      </c>
      <c r="E159" s="553"/>
      <c r="H159" s="276"/>
      <c r="I159" s="554" t="str">
        <f>IF(V66="x",AF66,"")</f>
        <v/>
      </c>
      <c r="J159" s="105" t="str">
        <f t="shared" si="9"/>
        <v/>
      </c>
      <c r="K159" s="105">
        <f t="shared" si="12"/>
        <v>19</v>
      </c>
      <c r="M159" s="105">
        <v>15216</v>
      </c>
      <c r="N159" s="543" t="str">
        <f>IF(J159=1,VLOOKUP(M159,#REF!,6,FALSE),"")</f>
        <v/>
      </c>
      <c r="O159" s="544"/>
    </row>
    <row r="160" spans="2:41" hidden="1" x14ac:dyDescent="0.3">
      <c r="B160" s="105" t="str">
        <f>IF(C160&gt;"",SUM(J141:J159)+1,"")</f>
        <v/>
      </c>
      <c r="C160" s="551" t="str">
        <f>IF(AH56="x",AI56,"")</f>
        <v/>
      </c>
      <c r="D160" s="552" t="str">
        <f>IF(AH56="x",AJ56&amp;AJ57,"")</f>
        <v/>
      </c>
      <c r="E160" s="553"/>
      <c r="H160" s="276"/>
      <c r="I160" s="554" t="str">
        <f>IF(AH56="x",AN56,"")</f>
        <v/>
      </c>
      <c r="J160" s="105" t="str">
        <f t="shared" si="9"/>
        <v/>
      </c>
      <c r="K160" s="105">
        <f t="shared" si="12"/>
        <v>20</v>
      </c>
      <c r="M160" s="105">
        <v>15023</v>
      </c>
      <c r="N160" s="543" t="str">
        <f>IF(J160=1,VLOOKUP(M160,#REF!,6,FALSE),"")</f>
        <v/>
      </c>
      <c r="O160" s="544"/>
    </row>
    <row r="161" spans="2:41" hidden="1" x14ac:dyDescent="0.3">
      <c r="B161" s="105" t="str">
        <f>IF(C161&gt;"",SUM(J141:J160)+1,"")</f>
        <v/>
      </c>
      <c r="C161" s="551" t="str">
        <f>IF(AH66="x",AI66,"")</f>
        <v/>
      </c>
      <c r="D161" s="552" t="str">
        <f>IF(AH66="x",AJ66,"")</f>
        <v/>
      </c>
      <c r="E161" s="553"/>
      <c r="H161" s="276"/>
      <c r="I161" s="554" t="str">
        <f>IF(AH66="x",AN66,"")</f>
        <v/>
      </c>
      <c r="J161" s="105" t="str">
        <f t="shared" si="9"/>
        <v/>
      </c>
      <c r="K161" s="105">
        <f t="shared" si="12"/>
        <v>21</v>
      </c>
      <c r="M161" s="105">
        <v>15216</v>
      </c>
      <c r="N161" s="543" t="str">
        <f>IF(J161=1,VLOOKUP(M161,#REF!,6,FALSE),"")</f>
        <v/>
      </c>
      <c r="O161" s="544"/>
    </row>
    <row r="162" spans="2:41" hidden="1" x14ac:dyDescent="0.3">
      <c r="B162" s="105" t="str">
        <f>IF(C162&gt;"",SUM(J141:J161)+1,"")</f>
        <v/>
      </c>
      <c r="C162" s="551" t="str">
        <f>IF(O65="x",P65,"")</f>
        <v/>
      </c>
      <c r="D162" s="552" t="str">
        <f>IF(O65="x",Q65,"")</f>
        <v/>
      </c>
      <c r="E162" s="553"/>
      <c r="H162" s="276"/>
      <c r="I162" s="554" t="str">
        <f>IF(O65="x",S65,"")</f>
        <v/>
      </c>
      <c r="J162" s="105" t="str">
        <f t="shared" si="9"/>
        <v/>
      </c>
      <c r="K162" s="105">
        <f t="shared" si="12"/>
        <v>22</v>
      </c>
      <c r="L162" s="105"/>
      <c r="M162" s="105">
        <v>15012</v>
      </c>
      <c r="N162" s="543" t="str">
        <f>IF(J162=1,VLOOKUP(M162,#REF!,6,FALSE),"")</f>
        <v/>
      </c>
      <c r="O162" s="544"/>
      <c r="AL162" s="142"/>
      <c r="AM162" s="142"/>
      <c r="AN162" s="142"/>
      <c r="AO162" s="142"/>
    </row>
    <row r="163" spans="2:41" hidden="1" x14ac:dyDescent="0.3">
      <c r="B163" s="105" t="str">
        <f>IF(C163&gt;"",SUM(J141:J162)+1,"")</f>
        <v/>
      </c>
      <c r="C163" s="551" t="str">
        <f>IF(O66="x",P66,"")</f>
        <v/>
      </c>
      <c r="D163" s="552" t="str">
        <f>IF(O66="x",Q66,"")</f>
        <v/>
      </c>
      <c r="E163" s="553"/>
      <c r="H163" s="276"/>
      <c r="I163" s="554" t="str">
        <f>IF(O66="x",S66,"")</f>
        <v/>
      </c>
      <c r="J163" s="105" t="str">
        <f t="shared" si="9"/>
        <v/>
      </c>
      <c r="K163" s="105">
        <f t="shared" si="12"/>
        <v>23</v>
      </c>
      <c r="L163" s="105"/>
      <c r="M163" s="105">
        <v>15010</v>
      </c>
      <c r="N163" s="543" t="str">
        <f>IF(J163=1,VLOOKUP(M163,#REF!,6,FALSE),"")</f>
        <v/>
      </c>
      <c r="O163" s="544"/>
      <c r="AL163" s="142"/>
      <c r="AM163" s="142"/>
      <c r="AN163" s="142"/>
      <c r="AO163" s="142"/>
    </row>
    <row r="164" spans="2:41" hidden="1" x14ac:dyDescent="0.3">
      <c r="B164" s="105" t="str">
        <f>IF(C164&gt;"",SUM(J141:J163)+1,"")</f>
        <v/>
      </c>
      <c r="C164" s="551" t="str">
        <f>IF(O67="x",P67,"")</f>
        <v/>
      </c>
      <c r="D164" s="552" t="str">
        <f>IF(O67="x",Q67,"")</f>
        <v/>
      </c>
      <c r="E164" s="553"/>
      <c r="H164" s="276"/>
      <c r="I164" s="554" t="str">
        <f>IF(O67="x",S67,"")</f>
        <v/>
      </c>
      <c r="J164" s="105" t="str">
        <f t="shared" si="9"/>
        <v/>
      </c>
      <c r="K164" s="105">
        <f t="shared" si="12"/>
        <v>24</v>
      </c>
      <c r="M164" s="105">
        <v>15719</v>
      </c>
      <c r="N164" s="543" t="str">
        <f>IF(J164=1,VLOOKUP(M164,#REF!,6,FALSE),"")</f>
        <v/>
      </c>
      <c r="O164" s="544"/>
      <c r="AL164" s="142"/>
      <c r="AM164" s="142"/>
      <c r="AN164" s="142"/>
      <c r="AO164" s="142"/>
    </row>
    <row r="165" spans="2:41" hidden="1" x14ac:dyDescent="0.3">
      <c r="B165" s="105" t="str">
        <f>IF(C165&gt;"",SUM(J141:J164)+1,"")</f>
        <v/>
      </c>
      <c r="C165" s="551" t="str">
        <f>IF(O45="x",P45,"")</f>
        <v/>
      </c>
      <c r="D165" s="552" t="str">
        <f>IF(O45="x",Q45,"")</f>
        <v/>
      </c>
      <c r="E165" s="553"/>
      <c r="H165" s="276"/>
      <c r="I165" s="558"/>
      <c r="J165" s="105" t="str">
        <f t="shared" si="9"/>
        <v/>
      </c>
      <c r="K165" s="105">
        <f t="shared" si="12"/>
        <v>25</v>
      </c>
      <c r="N165" s="543"/>
      <c r="O165" s="544"/>
    </row>
    <row r="166" spans="2:41" hidden="1" x14ac:dyDescent="0.3">
      <c r="B166" s="105" t="str">
        <f>IF(C166&gt;"",SUM(J141:J165)+1,"")</f>
        <v/>
      </c>
      <c r="C166" s="551" t="str">
        <f>IF(O46="x",P46,"")</f>
        <v/>
      </c>
      <c r="D166" s="552" t="str">
        <f>IF(O46="x",Q46,"")</f>
        <v/>
      </c>
      <c r="E166" s="553"/>
      <c r="H166" s="276"/>
      <c r="I166" s="558"/>
      <c r="J166" s="105" t="str">
        <f t="shared" si="9"/>
        <v/>
      </c>
      <c r="K166" s="105">
        <f t="shared" si="12"/>
        <v>26</v>
      </c>
      <c r="N166" s="543"/>
      <c r="O166" s="544"/>
    </row>
    <row r="167" spans="2:41" hidden="1" x14ac:dyDescent="0.3">
      <c r="B167" s="105" t="str">
        <f>IF(C167&gt;"",SUM(J141:J166)+1,"")</f>
        <v/>
      </c>
      <c r="C167" s="551" t="str">
        <f>IF(O47="x",P47,"")</f>
        <v/>
      </c>
      <c r="D167" s="552" t="str">
        <f>IF(O47="x",Q47,"")</f>
        <v/>
      </c>
      <c r="E167" s="553"/>
      <c r="H167" s="276"/>
      <c r="I167" s="558"/>
      <c r="J167" s="105" t="str">
        <f t="shared" si="9"/>
        <v/>
      </c>
      <c r="K167" s="105">
        <f t="shared" si="12"/>
        <v>27</v>
      </c>
      <c r="N167" s="543"/>
      <c r="O167" s="544"/>
    </row>
    <row r="168" spans="2:41" hidden="1" x14ac:dyDescent="0.3">
      <c r="B168" s="105" t="str">
        <f>IF(C168&gt;"",SUM(J141:J167)+1,"")</f>
        <v/>
      </c>
      <c r="C168" s="551" t="str">
        <f>IF(O48="x",P48,"")</f>
        <v/>
      </c>
      <c r="D168" s="552" t="str">
        <f>IF(O48="x",Q48,"")</f>
        <v/>
      </c>
      <c r="E168" s="553"/>
      <c r="H168" s="276"/>
      <c r="I168" s="558"/>
      <c r="J168" s="105" t="str">
        <f t="shared" si="9"/>
        <v/>
      </c>
      <c r="K168" s="105">
        <f t="shared" si="12"/>
        <v>28</v>
      </c>
      <c r="N168" s="543"/>
      <c r="O168" s="544"/>
    </row>
    <row r="169" spans="2:41" hidden="1" x14ac:dyDescent="0.3">
      <c r="B169" s="105" t="str">
        <f>IF(C169&gt;"",SUM(J141:J168)+1,"")</f>
        <v/>
      </c>
      <c r="C169" s="559" t="str">
        <f>IF(O49="x",P49,"")</f>
        <v/>
      </c>
      <c r="D169" s="560" t="str">
        <f>IF(O49="x",Q49,"")</f>
        <v/>
      </c>
      <c r="E169" s="555"/>
      <c r="F169" s="190"/>
      <c r="G169" s="190"/>
      <c r="H169" s="191"/>
      <c r="I169" s="561"/>
      <c r="J169" s="105" t="str">
        <f t="shared" si="9"/>
        <v/>
      </c>
      <c r="K169" s="105">
        <f t="shared" si="12"/>
        <v>29</v>
      </c>
      <c r="N169" s="543"/>
      <c r="O169" s="544"/>
    </row>
    <row r="170" spans="2:41" ht="18" hidden="1" thickBot="1" x14ac:dyDescent="0.35">
      <c r="H170" s="562" t="s">
        <v>100</v>
      </c>
      <c r="I170" s="563">
        <f>SUM(I141:I169)</f>
        <v>0</v>
      </c>
      <c r="J170" s="351"/>
      <c r="K170" s="351"/>
      <c r="L170" s="535"/>
      <c r="M170" s="535" t="s">
        <v>192</v>
      </c>
      <c r="N170" s="564">
        <f>SUM(N141:N169)</f>
        <v>0</v>
      </c>
      <c r="O170" s="565"/>
    </row>
    <row r="171" spans="2:41" hidden="1" x14ac:dyDescent="0.3"/>
    <row r="172" spans="2:41" hidden="1" x14ac:dyDescent="0.3"/>
    <row r="173" spans="2:41" hidden="1" x14ac:dyDescent="0.3"/>
  </sheetData>
  <sheetProtection algorithmName="SHA-512" hashValue="0tqt4jiBH1UGy0tdVl/BuGXfXOm9EPNH43/jrjVd8wlLE0ZYP+MR22kAjScc3kiByxzA33eqGo6u2qoJnzpaUQ==" saltValue="YoBAZetVvoHPorJkLtxfjQ==" spinCount="100000" sheet="1" objects="1" scenarios="1"/>
  <protectedRanges>
    <protectedRange algorithmName="SHA-512" hashValue="V5otiPykSgc606epnyoPl0n/i/fgpKeq40htLeOlDSTbEF9yQpBvV0UfVGGJyOwA1/QJ6kzkuFt6oCI135aCvQ==" saltValue="ZSK6t9WhzifcdgSPmp0m/Q==" spinCount="100000" sqref="F22:K26" name="Bereich1"/>
  </protectedRanges>
  <mergeCells count="98">
    <mergeCell ref="AG68:AN70"/>
    <mergeCell ref="T75:V75"/>
    <mergeCell ref="T74:V74"/>
    <mergeCell ref="AA74:AB75"/>
    <mergeCell ref="N141:O141"/>
    <mergeCell ref="AJ93:AL93"/>
    <mergeCell ref="AJ94:AL94"/>
    <mergeCell ref="AJ91:AL91"/>
    <mergeCell ref="AJ92:AL92"/>
    <mergeCell ref="AJ86:AL86"/>
    <mergeCell ref="AJ87:AL87"/>
    <mergeCell ref="AJ104:AL104"/>
    <mergeCell ref="AJ105:AL105"/>
    <mergeCell ref="N169:O169"/>
    <mergeCell ref="AJ106:AL106"/>
    <mergeCell ref="AJ107:AL107"/>
    <mergeCell ref="N167:O167"/>
    <mergeCell ref="N164:O164"/>
    <mergeCell ref="N151:O151"/>
    <mergeCell ref="N153:O153"/>
    <mergeCell ref="N146:O146"/>
    <mergeCell ref="N147:O147"/>
    <mergeCell ref="N148:O148"/>
    <mergeCell ref="N149:O149"/>
    <mergeCell ref="N150:O150"/>
    <mergeCell ref="N163:O163"/>
    <mergeCell ref="N152:O152"/>
    <mergeCell ref="N170:O170"/>
    <mergeCell ref="N140:O140"/>
    <mergeCell ref="N159:O159"/>
    <mergeCell ref="N160:O160"/>
    <mergeCell ref="N161:O161"/>
    <mergeCell ref="N165:O165"/>
    <mergeCell ref="N166:O166"/>
    <mergeCell ref="N154:O154"/>
    <mergeCell ref="N155:O155"/>
    <mergeCell ref="N156:O156"/>
    <mergeCell ref="N157:O157"/>
    <mergeCell ref="N158:O158"/>
    <mergeCell ref="N162:O162"/>
    <mergeCell ref="N142:O142"/>
    <mergeCell ref="N143:O143"/>
    <mergeCell ref="N168:O168"/>
    <mergeCell ref="AP65:AQ66"/>
    <mergeCell ref="N144:O144"/>
    <mergeCell ref="N145:O145"/>
    <mergeCell ref="AJ88:AL88"/>
    <mergeCell ref="AJ89:AL89"/>
    <mergeCell ref="AJ90:AL90"/>
    <mergeCell ref="AJ99:AL99"/>
    <mergeCell ref="AJ95:AL95"/>
    <mergeCell ref="AJ98:AL98"/>
    <mergeCell ref="AJ96:AL96"/>
    <mergeCell ref="AJ100:AL100"/>
    <mergeCell ref="AJ101:AL101"/>
    <mergeCell ref="AJ97:AL97"/>
    <mergeCell ref="AJ102:AL102"/>
    <mergeCell ref="AJ103:AL103"/>
    <mergeCell ref="J121:L121"/>
    <mergeCell ref="J123:L123"/>
    <mergeCell ref="J120:L120"/>
    <mergeCell ref="J101:L101"/>
    <mergeCell ref="J102:L102"/>
    <mergeCell ref="J112:L112"/>
    <mergeCell ref="J107:L107"/>
    <mergeCell ref="J104:L104"/>
    <mergeCell ref="J110:L110"/>
    <mergeCell ref="J118:L118"/>
    <mergeCell ref="J119:L119"/>
    <mergeCell ref="J111:L111"/>
    <mergeCell ref="J108:L108"/>
    <mergeCell ref="J106:L106"/>
    <mergeCell ref="J136:L136"/>
    <mergeCell ref="J128:L128"/>
    <mergeCell ref="J124:L124"/>
    <mergeCell ref="J129:L129"/>
    <mergeCell ref="J135:L135"/>
    <mergeCell ref="J125:L125"/>
    <mergeCell ref="J126:L126"/>
    <mergeCell ref="J130:L130"/>
    <mergeCell ref="I99:L99"/>
    <mergeCell ref="J103:L103"/>
    <mergeCell ref="J88:L88"/>
    <mergeCell ref="J89:L89"/>
    <mergeCell ref="J90:L90"/>
    <mergeCell ref="J94:L94"/>
    <mergeCell ref="J95:L95"/>
    <mergeCell ref="J96:L96"/>
    <mergeCell ref="J93:L93"/>
    <mergeCell ref="J91:L91"/>
    <mergeCell ref="J92:L92"/>
    <mergeCell ref="X2:Z2"/>
    <mergeCell ref="Z68:AF70"/>
    <mergeCell ref="S77:Y77"/>
    <mergeCell ref="S31:T31"/>
    <mergeCell ref="S40:T40"/>
    <mergeCell ref="S41:T41"/>
    <mergeCell ref="AC74:AC75"/>
  </mergeCells>
  <conditionalFormatting sqref="P13 AH66 O49 AD13:AE13 AN24:AO25">
    <cfRule type="containsText" dxfId="32" priority="645" operator="containsText" text="X">
      <formula>NOT(ISERROR(SEARCH("X",O13)))</formula>
    </cfRule>
  </conditionalFormatting>
  <conditionalFormatting sqref="K40">
    <cfRule type="containsText" dxfId="31" priority="596" operator="containsText" text="X">
      <formula>NOT(ISERROR(SEARCH("X",K40)))</formula>
    </cfRule>
  </conditionalFormatting>
  <conditionalFormatting sqref="K31">
    <cfRule type="containsText" dxfId="30" priority="597" operator="containsText" text="X">
      <formula>NOT(ISERROR(SEARCH("X",K31)))</formula>
    </cfRule>
  </conditionalFormatting>
  <conditionalFormatting sqref="K41">
    <cfRule type="containsText" dxfId="29" priority="595" operator="containsText" text="X">
      <formula>NOT(ISERROR(SEARCH("X",K41)))</formula>
    </cfRule>
  </conditionalFormatting>
  <conditionalFormatting sqref="AA33">
    <cfRule type="containsText" dxfId="28" priority="590" operator="containsText" text="X">
      <formula>NOT(ISERROR(SEARCH("X",AA33)))</formula>
    </cfRule>
  </conditionalFormatting>
  <conditionalFormatting sqref="B31">
    <cfRule type="containsText" dxfId="27" priority="601" operator="containsText" text="X">
      <formula>NOT(ISERROR(SEARCH("X",B31)))</formula>
    </cfRule>
  </conditionalFormatting>
  <conditionalFormatting sqref="G23">
    <cfRule type="containsText" dxfId="26" priority="602" operator="containsText" text="X">
      <formula>NOT(ISERROR(SEARCH("X",G23)))</formula>
    </cfRule>
  </conditionalFormatting>
  <conditionalFormatting sqref="B36">
    <cfRule type="containsText" dxfId="25" priority="600" operator="containsText" text="X">
      <formula>NOT(ISERROR(SEARCH("X",B36)))</formula>
    </cfRule>
  </conditionalFormatting>
  <conditionalFormatting sqref="O65">
    <cfRule type="containsText" dxfId="24" priority="594" operator="containsText" text="X">
      <formula>NOT(ISERROR(SEARCH("X",O65)))</formula>
    </cfRule>
  </conditionalFormatting>
  <conditionalFormatting sqref="O66">
    <cfRule type="containsText" dxfId="23" priority="593" operator="containsText" text="X">
      <formula>NOT(ISERROR(SEARCH("X",O66)))</formula>
    </cfRule>
  </conditionalFormatting>
  <conditionalFormatting sqref="O67">
    <cfRule type="containsText" dxfId="22" priority="592" operator="containsText" text="X">
      <formula>NOT(ISERROR(SEARCH("X",O67)))</formula>
    </cfRule>
  </conditionalFormatting>
  <conditionalFormatting sqref="AA24:AA25">
    <cfRule type="containsText" dxfId="21" priority="591" operator="containsText" text="X">
      <formula>NOT(ISERROR(SEARCH("X",AA24)))</formula>
    </cfRule>
  </conditionalFormatting>
  <conditionalFormatting sqref="AD3:AE3">
    <cfRule type="containsText" dxfId="20" priority="589" operator="containsText" text="X">
      <formula>NOT(ISERROR(SEARCH("X",AD3)))</formula>
    </cfRule>
  </conditionalFormatting>
  <conditionalFormatting sqref="AD12:AE12">
    <cfRule type="containsText" dxfId="19" priority="588" operator="containsText" text="X">
      <formula>NOT(ISERROR(SEARCH("X",AD12)))</formula>
    </cfRule>
  </conditionalFormatting>
  <conditionalFormatting sqref="V39">
    <cfRule type="containsText" dxfId="18" priority="584" operator="containsText" text="X">
      <formula>NOT(ISERROR(SEARCH("X",V39)))</formula>
    </cfRule>
  </conditionalFormatting>
  <conditionalFormatting sqref="V49">
    <cfRule type="containsText" dxfId="17" priority="583" operator="containsText" text="X">
      <formula>NOT(ISERROR(SEARCH("X",V49)))</formula>
    </cfRule>
  </conditionalFormatting>
  <conditionalFormatting sqref="V50">
    <cfRule type="containsText" dxfId="16" priority="582" operator="containsText" text="X">
      <formula>NOT(ISERROR(SEARCH("X",V50)))</formula>
    </cfRule>
  </conditionalFormatting>
  <conditionalFormatting sqref="AH39">
    <cfRule type="containsText" dxfId="15" priority="579" operator="containsText" text="X">
      <formula>NOT(ISERROR(SEARCH("X",AH39)))</formula>
    </cfRule>
  </conditionalFormatting>
  <conditionalFormatting sqref="O56">
    <cfRule type="containsText" dxfId="14" priority="565" operator="containsText" text="X">
      <formula>NOT(ISERROR(SEARCH("X",O56)))</formula>
    </cfRule>
  </conditionalFormatting>
  <conditionalFormatting sqref="V66 V56">
    <cfRule type="containsText" dxfId="13" priority="577" operator="containsText" text="X">
      <formula>NOT(ISERROR(SEARCH("X",V56)))</formula>
    </cfRule>
  </conditionalFormatting>
  <conditionalFormatting sqref="AH56">
    <cfRule type="containsText" dxfId="12" priority="572" operator="containsText" text="X">
      <formula>NOT(ISERROR(SEARCH("X",AH56)))</formula>
    </cfRule>
  </conditionalFormatting>
  <conditionalFormatting sqref="O45">
    <cfRule type="containsText" dxfId="11" priority="571" operator="containsText" text="X">
      <formula>NOT(ISERROR(SEARCH("X",O45)))</formula>
    </cfRule>
  </conditionalFormatting>
  <conditionalFormatting sqref="O46">
    <cfRule type="containsText" dxfId="10" priority="570" operator="containsText" text="X">
      <formula>NOT(ISERROR(SEARCH("X",O46)))</formula>
    </cfRule>
  </conditionalFormatting>
  <conditionalFormatting sqref="O47">
    <cfRule type="containsText" dxfId="9" priority="569" operator="containsText" text="X">
      <formula>NOT(ISERROR(SEARCH("X",O47)))</formula>
    </cfRule>
  </conditionalFormatting>
  <conditionalFormatting sqref="O48">
    <cfRule type="containsText" dxfId="8" priority="568" operator="containsText" text="X">
      <formula>NOT(ISERROR(SEARCH("X",O48)))</formula>
    </cfRule>
  </conditionalFormatting>
  <conditionalFormatting sqref="O54">
    <cfRule type="containsText" dxfId="7" priority="567" operator="containsText" text="X">
      <formula>NOT(ISERROR(SEARCH("X",O54)))</formula>
    </cfRule>
  </conditionalFormatting>
  <conditionalFormatting sqref="O55">
    <cfRule type="containsText" dxfId="6" priority="566" operator="containsText" text="X">
      <formula>NOT(ISERROR(SEARCH("X",O55)))</formula>
    </cfRule>
  </conditionalFormatting>
  <conditionalFormatting sqref="O57">
    <cfRule type="containsText" dxfId="5" priority="6" operator="containsText" text="X">
      <formula>NOT(ISERROR(SEARCH("X",O57)))</formula>
    </cfRule>
  </conditionalFormatting>
  <conditionalFormatting sqref="O58">
    <cfRule type="containsText" dxfId="4" priority="5" operator="containsText" text="X">
      <formula>NOT(ISERROR(SEARCH("X",O58)))</formula>
    </cfRule>
  </conditionalFormatting>
  <conditionalFormatting sqref="O59">
    <cfRule type="containsText" dxfId="3" priority="4" operator="containsText" text="X">
      <formula>NOT(ISERROR(SEARCH("X",O59)))</formula>
    </cfRule>
  </conditionalFormatting>
  <conditionalFormatting sqref="O60">
    <cfRule type="containsText" dxfId="2" priority="3" operator="containsText" text="X">
      <formula>NOT(ISERROR(SEARCH("X",O60)))</formula>
    </cfRule>
  </conditionalFormatting>
  <printOptions horizontalCentered="1" verticalCentered="1"/>
  <pageMargins left="0" right="0" top="0" bottom="0" header="0" footer="0"/>
  <pageSetup paperSize="9" scale="3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Q84"/>
  <sheetViews>
    <sheetView topLeftCell="D11" zoomScale="85" zoomScaleNormal="85" workbookViewId="0">
      <selection activeCell="F62" sqref="F62:H65"/>
    </sheetView>
  </sheetViews>
  <sheetFormatPr baseColWidth="10" defaultRowHeight="15" x14ac:dyDescent="0.25"/>
  <cols>
    <col min="1" max="1" width="33.85546875" customWidth="1"/>
    <col min="2" max="2" width="22.28515625" customWidth="1"/>
    <col min="3" max="3" width="41.85546875" customWidth="1"/>
    <col min="4" max="4" width="17.85546875" style="11" customWidth="1"/>
    <col min="5" max="5" width="36.7109375" style="11" customWidth="1"/>
    <col min="6" max="6" width="25.5703125" style="11" customWidth="1"/>
    <col min="7" max="7" width="37.85546875" style="8" customWidth="1"/>
    <col min="8" max="8" width="18.7109375" style="7" customWidth="1"/>
    <col min="9" max="9" width="38.28515625" style="8" customWidth="1"/>
    <col min="11" max="11" width="39.42578125" customWidth="1"/>
    <col min="12" max="12" width="15.85546875" customWidth="1"/>
    <col min="13" max="13" width="8.5703125" style="2" customWidth="1"/>
    <col min="14" max="14" width="12.85546875" customWidth="1"/>
    <col min="16" max="16" width="9.42578125" customWidth="1"/>
    <col min="17" max="17" width="15.5703125" customWidth="1"/>
  </cols>
  <sheetData>
    <row r="1" spans="1:17" ht="18.75" x14ac:dyDescent="0.3">
      <c r="A1" s="4">
        <v>11005</v>
      </c>
      <c r="B1" s="4" t="e">
        <f>IF(A1="","",VLOOKUP(A1,#REF!,2,FALSE))</f>
        <v>#REF!</v>
      </c>
      <c r="C1" s="4"/>
      <c r="D1" s="16"/>
      <c r="E1" s="16"/>
      <c r="F1" s="16"/>
      <c r="G1" s="12"/>
      <c r="H1" s="13"/>
      <c r="I1" s="12"/>
      <c r="K1" s="92" t="s">
        <v>28</v>
      </c>
      <c r="L1" s="92"/>
    </row>
    <row r="2" spans="1:17" ht="18.75" x14ac:dyDescent="0.3">
      <c r="A2" t="s">
        <v>0</v>
      </c>
      <c r="B2" t="s">
        <v>10</v>
      </c>
      <c r="C2" t="s">
        <v>9</v>
      </c>
      <c r="D2" s="11" t="s">
        <v>11</v>
      </c>
      <c r="E2" s="11" t="s">
        <v>64</v>
      </c>
      <c r="G2" s="8" t="s">
        <v>23</v>
      </c>
      <c r="H2" s="7" t="s">
        <v>1</v>
      </c>
      <c r="I2" s="8" t="s">
        <v>16</v>
      </c>
      <c r="K2" s="92" t="e">
        <f>B1</f>
        <v>#REF!</v>
      </c>
      <c r="L2" s="92"/>
    </row>
    <row r="3" spans="1:17" x14ac:dyDescent="0.25">
      <c r="A3" s="1" t="s">
        <v>3</v>
      </c>
      <c r="B3">
        <v>11002</v>
      </c>
      <c r="C3" s="29" t="e">
        <f>IF(A3="","",VLOOKUP(B3,#REF!,2,FALSE))</f>
        <v>#REF!</v>
      </c>
      <c r="D3" s="11" t="e">
        <f>IF(B3="","",VLOOKUP(B3,#REF!,3,FALSE))</f>
        <v>#REF!</v>
      </c>
      <c r="G3" s="8" t="e">
        <f>IF(B3="","",VLOOKUP(B3,#REF!,5,FALSE))</f>
        <v>#REF!</v>
      </c>
      <c r="H3" s="7" t="e">
        <f>IF(B3="","",VLOOKUP(B3,#REF!,6,FALSE))</f>
        <v>#REF!</v>
      </c>
      <c r="I3" s="8" t="e">
        <f>SUM(H3*A3)</f>
        <v>#REF!</v>
      </c>
      <c r="K3" s="93" t="s">
        <v>24</v>
      </c>
      <c r="L3" s="94" t="e">
        <f>I7</f>
        <v>#REF!</v>
      </c>
    </row>
    <row r="4" spans="1:17" x14ac:dyDescent="0.25">
      <c r="A4" s="1" t="s">
        <v>2</v>
      </c>
      <c r="B4">
        <v>11004</v>
      </c>
      <c r="C4" s="29" t="e">
        <f>IF(A4="","",VLOOKUP(B4,#REF!,2,FALSE))</f>
        <v>#REF!</v>
      </c>
      <c r="D4" s="11" t="e">
        <f>IF(B4="","",VLOOKUP(B4,#REF!,3,FALSE))</f>
        <v>#REF!</v>
      </c>
      <c r="G4" s="8" t="e">
        <f>IF(B4="","",VLOOKUP(B4,#REF!,5,FALSE))</f>
        <v>#REF!</v>
      </c>
      <c r="H4" s="7" t="e">
        <f>IF(B4="","",VLOOKUP(B4,#REF!,6,FALSE))</f>
        <v>#REF!</v>
      </c>
      <c r="I4" s="8" t="e">
        <f>SUM(H4*A4)</f>
        <v>#REF!</v>
      </c>
      <c r="K4" s="93" t="s">
        <v>25</v>
      </c>
      <c r="L4" s="94">
        <f>N40</f>
        <v>120</v>
      </c>
    </row>
    <row r="5" spans="1:17" x14ac:dyDescent="0.25">
      <c r="A5" s="1" t="s">
        <v>4</v>
      </c>
      <c r="B5">
        <v>40027</v>
      </c>
      <c r="C5" s="54" t="e">
        <f>IF(A5="","",VLOOKUP(B5,#REF!,2,FALSE))</f>
        <v>#REF!</v>
      </c>
      <c r="D5" s="11" t="e">
        <f>IF(B5="","",VLOOKUP(B5,#REF!,3,FALSE))</f>
        <v>#REF!</v>
      </c>
      <c r="E5" s="11" t="e">
        <f>SUM(D5*A5)</f>
        <v>#REF!</v>
      </c>
      <c r="G5" s="8" t="e">
        <f>IF(B5="","",VLOOKUP(B5,#REF!,5,FALSE))</f>
        <v>#REF!</v>
      </c>
      <c r="H5" s="7" t="e">
        <f>IF(B5="","",VLOOKUP(B5,#REF!,6,FALSE))</f>
        <v>#REF!</v>
      </c>
      <c r="I5" s="8" t="e">
        <f>SUM(H5*A5)</f>
        <v>#REF!</v>
      </c>
      <c r="K5" s="97" t="s">
        <v>26</v>
      </c>
      <c r="L5" s="98" t="e">
        <f>SUM(L3:L4)</f>
        <v>#REF!</v>
      </c>
    </row>
    <row r="6" spans="1:17" x14ac:dyDescent="0.25">
      <c r="A6" s="1" t="s">
        <v>7</v>
      </c>
      <c r="B6">
        <v>14001</v>
      </c>
      <c r="C6" s="29" t="e">
        <f>IF(A6="","",VLOOKUP(B6,#REF!,2,FALSE))</f>
        <v>#REF!</v>
      </c>
      <c r="D6" s="11" t="e">
        <f>IF(B6="","",VLOOKUP(B6,#REF!,3,FALSE))</f>
        <v>#REF!</v>
      </c>
      <c r="G6" s="8" t="e">
        <f>IF(B6="","",VLOOKUP(B6,#REF!,5,FALSE))</f>
        <v>#REF!</v>
      </c>
      <c r="H6" s="7" t="e">
        <f>IF(B6="","",VLOOKUP(B6,#REF!,6,FALSE))</f>
        <v>#REF!</v>
      </c>
      <c r="I6" s="8" t="e">
        <f>SUM(H6*A6)</f>
        <v>#REF!</v>
      </c>
      <c r="K6" s="93" t="s">
        <v>42</v>
      </c>
      <c r="L6" s="99">
        <v>0.69</v>
      </c>
    </row>
    <row r="7" spans="1:17" x14ac:dyDescent="0.25">
      <c r="A7" s="1"/>
      <c r="H7" s="14" t="s">
        <v>15</v>
      </c>
      <c r="I7" s="9" t="e">
        <f>SUM(I3:I6)</f>
        <v>#REF!</v>
      </c>
      <c r="K7" s="95" t="s">
        <v>33</v>
      </c>
      <c r="L7" s="96">
        <f>P26</f>
        <v>0</v>
      </c>
    </row>
    <row r="8" spans="1:17" ht="21.75" thickBot="1" x14ac:dyDescent="0.4">
      <c r="A8" s="1"/>
      <c r="H8" s="15"/>
      <c r="I8" s="10"/>
      <c r="K8" s="101" t="s">
        <v>27</v>
      </c>
      <c r="L8" s="100" t="e">
        <f>SUM(L5*L6+L5+L7)</f>
        <v>#REF!</v>
      </c>
      <c r="O8" s="6"/>
      <c r="P8" s="6"/>
    </row>
    <row r="9" spans="1:17" ht="15.75" thickTop="1" x14ac:dyDescent="0.25">
      <c r="A9" s="24"/>
      <c r="B9" s="22"/>
      <c r="C9" s="22"/>
      <c r="D9" s="25"/>
      <c r="E9" s="25"/>
      <c r="F9" s="25"/>
      <c r="G9" s="26"/>
      <c r="H9" s="27"/>
      <c r="I9" s="28"/>
      <c r="J9" s="22"/>
      <c r="K9" s="22"/>
      <c r="L9" s="22"/>
      <c r="M9" s="30"/>
      <c r="N9" s="22"/>
      <c r="O9" s="6"/>
      <c r="P9" s="6"/>
    </row>
    <row r="10" spans="1:17" x14ac:dyDescent="0.25">
      <c r="A10" s="1"/>
      <c r="H10" s="15"/>
      <c r="I10" s="10"/>
      <c r="O10" s="6"/>
      <c r="P10" s="6"/>
    </row>
    <row r="11" spans="1:17" ht="18.75" x14ac:dyDescent="0.3">
      <c r="A11" s="18">
        <v>11002</v>
      </c>
      <c r="B11" s="18" t="e">
        <f>IF(A11="","",VLOOKUP(A11,#REF!,2,FALSE))</f>
        <v>#REF!</v>
      </c>
      <c r="C11" s="18"/>
      <c r="D11" s="19"/>
      <c r="E11" s="19"/>
      <c r="F11" s="19"/>
      <c r="G11" s="20"/>
      <c r="H11" s="21"/>
      <c r="I11" s="20"/>
      <c r="K11" s="20" t="s">
        <v>29</v>
      </c>
      <c r="L11" s="20"/>
      <c r="M11" s="20"/>
      <c r="N11" s="20"/>
      <c r="O11" s="20"/>
      <c r="P11" s="86">
        <v>0.1</v>
      </c>
      <c r="Q11" s="21" t="s">
        <v>32</v>
      </c>
    </row>
    <row r="12" spans="1:17" x14ac:dyDescent="0.25">
      <c r="A12" t="s">
        <v>0</v>
      </c>
      <c r="B12" t="s">
        <v>12</v>
      </c>
      <c r="C12" t="s">
        <v>9</v>
      </c>
      <c r="D12" s="11" t="s">
        <v>11</v>
      </c>
      <c r="E12" s="11" t="s">
        <v>64</v>
      </c>
      <c r="G12" s="8" t="s">
        <v>23</v>
      </c>
      <c r="H12" s="7" t="s">
        <v>1</v>
      </c>
      <c r="I12" s="8" t="s">
        <v>16</v>
      </c>
      <c r="K12" s="35" t="s">
        <v>34</v>
      </c>
      <c r="L12" s="36"/>
      <c r="M12" s="36">
        <v>16003</v>
      </c>
      <c r="N12" s="36">
        <v>2</v>
      </c>
      <c r="O12" s="37" t="e">
        <f>SUM(IF(M12="","",VLOOKUP(M12,#REF!,6,FALSE))*N12)</f>
        <v>#REF!</v>
      </c>
      <c r="P12" s="37" t="e">
        <f>SUM(O12*P11)+O12</f>
        <v>#REF!</v>
      </c>
      <c r="Q12" s="38"/>
    </row>
    <row r="13" spans="1:17" x14ac:dyDescent="0.25">
      <c r="A13" s="1" t="s">
        <v>2</v>
      </c>
      <c r="B13">
        <v>40001</v>
      </c>
      <c r="C13" s="55" t="e">
        <f>IF(A13="","",VLOOKUP(B13,#REF!,2,FALSE))</f>
        <v>#REF!</v>
      </c>
      <c r="D13" s="11" t="e">
        <f>IF(B13="","",VLOOKUP(B13,#REF!,3,FALSE))</f>
        <v>#REF!</v>
      </c>
      <c r="E13" s="11" t="e">
        <f>SUM(D13*A13)</f>
        <v>#REF!</v>
      </c>
      <c r="G13" s="8" t="e">
        <f>IF(B13="","",VLOOKUP(B13,#REF!,5,FALSE))</f>
        <v>#REF!</v>
      </c>
      <c r="H13" s="7" t="e">
        <f>IF(B13="","",VLOOKUP(B13,#REF!,6,FALSE))</f>
        <v>#REF!</v>
      </c>
      <c r="I13" s="8" t="e">
        <f t="shared" ref="I13:I33" si="0">SUM(H13*A13)</f>
        <v>#REF!</v>
      </c>
      <c r="K13" s="45" t="s">
        <v>39</v>
      </c>
      <c r="L13" t="s">
        <v>35</v>
      </c>
      <c r="M13"/>
      <c r="N13" s="40"/>
      <c r="Q13" s="41"/>
    </row>
    <row r="14" spans="1:17" x14ac:dyDescent="0.25">
      <c r="A14" s="1" t="s">
        <v>3</v>
      </c>
      <c r="B14">
        <v>40002</v>
      </c>
      <c r="C14" s="54" t="e">
        <f>IF(A14="","",VLOOKUP(B14,#REF!,2,FALSE))</f>
        <v>#REF!</v>
      </c>
      <c r="D14" s="11" t="e">
        <f>IF(B14="","",VLOOKUP(B14,#REF!,3,FALSE))</f>
        <v>#REF!</v>
      </c>
      <c r="E14" s="11" t="e">
        <f t="shared" ref="E14:E32" si="1">SUM(D14*A14)</f>
        <v>#REF!</v>
      </c>
      <c r="G14" s="8" t="e">
        <f>IF(B14="","",VLOOKUP(B14,#REF!,5,FALSE))</f>
        <v>#REF!</v>
      </c>
      <c r="H14" s="7" t="e">
        <f>IF(B14="","",VLOOKUP(B14,#REF!,6,FALSE))</f>
        <v>#REF!</v>
      </c>
      <c r="I14" s="8" t="e">
        <f t="shared" si="0"/>
        <v>#REF!</v>
      </c>
      <c r="K14" s="39"/>
      <c r="L14" t="s">
        <v>38</v>
      </c>
      <c r="M14"/>
      <c r="N14" s="40"/>
      <c r="Q14" s="41"/>
    </row>
    <row r="15" spans="1:17" x14ac:dyDescent="0.25">
      <c r="A15" s="1" t="s">
        <v>4</v>
      </c>
      <c r="B15">
        <v>40003</v>
      </c>
      <c r="C15" s="54" t="e">
        <f>IF(A15="","",VLOOKUP(B15,#REF!,2,FALSE))</f>
        <v>#REF!</v>
      </c>
      <c r="D15" s="11" t="e">
        <f>IF(B15="","",VLOOKUP(B15,#REF!,3,FALSE))</f>
        <v>#REF!</v>
      </c>
      <c r="E15" s="11" t="e">
        <f t="shared" si="1"/>
        <v>#REF!</v>
      </c>
      <c r="G15" s="8" t="e">
        <f>IF(B15="","",VLOOKUP(B15,#REF!,5,FALSE))</f>
        <v>#REF!</v>
      </c>
      <c r="H15" s="7" t="e">
        <f>IF(B15="","",VLOOKUP(B15,#REF!,6,FALSE))</f>
        <v>#REF!</v>
      </c>
      <c r="I15" s="8" t="e">
        <f t="shared" si="0"/>
        <v>#REF!</v>
      </c>
      <c r="K15" s="42"/>
      <c r="L15" s="22" t="s">
        <v>22</v>
      </c>
      <c r="M15" s="22"/>
      <c r="N15" s="30"/>
      <c r="O15" s="22"/>
      <c r="P15" s="22"/>
      <c r="Q15" s="43"/>
    </row>
    <row r="16" spans="1:17" x14ac:dyDescent="0.25">
      <c r="A16" s="1" t="s">
        <v>2</v>
      </c>
      <c r="B16">
        <v>40004</v>
      </c>
      <c r="C16" s="54" t="e">
        <f>IF(A16="","",VLOOKUP(B16,#REF!,2,FALSE))</f>
        <v>#REF!</v>
      </c>
      <c r="D16" s="11" t="e">
        <f>IF(B16="","",VLOOKUP(B16,#REF!,3,FALSE))</f>
        <v>#REF!</v>
      </c>
      <c r="E16" s="11" t="e">
        <f t="shared" si="1"/>
        <v>#REF!</v>
      </c>
      <c r="G16" s="8" t="e">
        <f>IF(B16="","",VLOOKUP(B16,#REF!,5,FALSE))</f>
        <v>#REF!</v>
      </c>
      <c r="H16" s="7" t="e">
        <f>IF(B16="","",VLOOKUP(B16,#REF!,6,FALSE))</f>
        <v>#REF!</v>
      </c>
      <c r="I16" s="8" t="e">
        <f t="shared" si="0"/>
        <v>#REF!</v>
      </c>
      <c r="K16" s="35" t="s">
        <v>30</v>
      </c>
      <c r="L16" s="36"/>
      <c r="M16" s="36">
        <v>16002</v>
      </c>
      <c r="N16" s="36">
        <v>1</v>
      </c>
      <c r="O16" s="37" t="e">
        <f>SUM(IF(M16="","",VLOOKUP(M16,#REF!,6,FALSE))*N16)</f>
        <v>#REF!</v>
      </c>
      <c r="P16" s="37" t="e">
        <f>SUM(O16*P11)+O16</f>
        <v>#REF!</v>
      </c>
      <c r="Q16" s="38"/>
    </row>
    <row r="17" spans="1:17" x14ac:dyDescent="0.25">
      <c r="A17" s="1" t="s">
        <v>2</v>
      </c>
      <c r="B17">
        <v>40005</v>
      </c>
      <c r="C17" s="54" t="e">
        <f>IF(A17="","",VLOOKUP(B17,#REF!,2,FALSE))</f>
        <v>#REF!</v>
      </c>
      <c r="D17" s="11" t="e">
        <f>IF(B17="","",VLOOKUP(B17,#REF!,3,FALSE))</f>
        <v>#REF!</v>
      </c>
      <c r="E17" s="11" t="e">
        <f t="shared" si="1"/>
        <v>#REF!</v>
      </c>
      <c r="G17" s="8" t="e">
        <f>IF(B17="","",VLOOKUP(B17,#REF!,5,FALSE))</f>
        <v>#REF!</v>
      </c>
      <c r="H17" s="7" t="e">
        <f>IF(B17="","",VLOOKUP(B17,#REF!,6,FALSE))</f>
        <v>#REF!</v>
      </c>
      <c r="I17" s="8" t="e">
        <f t="shared" si="0"/>
        <v>#REF!</v>
      </c>
      <c r="K17" s="45" t="s">
        <v>39</v>
      </c>
      <c r="L17" t="s">
        <v>36</v>
      </c>
      <c r="M17" s="40"/>
      <c r="O17" s="40"/>
      <c r="P17" s="40"/>
      <c r="Q17" s="41"/>
    </row>
    <row r="18" spans="1:17" x14ac:dyDescent="0.25">
      <c r="A18" s="1" t="s">
        <v>2</v>
      </c>
      <c r="B18">
        <v>40006</v>
      </c>
      <c r="C18" s="54" t="e">
        <f>IF(A18="","",VLOOKUP(B18,#REF!,2,FALSE))</f>
        <v>#REF!</v>
      </c>
      <c r="D18" s="11" t="e">
        <f>IF(B18="","",VLOOKUP(B18,#REF!,3,FALSE))</f>
        <v>#REF!</v>
      </c>
      <c r="E18" s="11" t="e">
        <f t="shared" si="1"/>
        <v>#REF!</v>
      </c>
      <c r="G18" s="8" t="e">
        <f>IF(B18="","",VLOOKUP(B18,#REF!,5,FALSE))</f>
        <v>#REF!</v>
      </c>
      <c r="H18" s="7" t="e">
        <f>IF(B18="","",VLOOKUP(B18,#REF!,6,FALSE))</f>
        <v>#REF!</v>
      </c>
      <c r="I18" s="8" t="e">
        <f t="shared" si="0"/>
        <v>#REF!</v>
      </c>
      <c r="K18" s="39"/>
      <c r="L18" s="1" t="s">
        <v>37</v>
      </c>
      <c r="M18" s="40"/>
      <c r="N18" s="44"/>
      <c r="O18" s="40"/>
      <c r="P18" s="40"/>
      <c r="Q18" s="41"/>
    </row>
    <row r="19" spans="1:17" x14ac:dyDescent="0.25">
      <c r="A19" s="1" t="s">
        <v>3</v>
      </c>
      <c r="B19">
        <v>40007</v>
      </c>
      <c r="C19" s="54" t="e">
        <f>IF(A19="","",VLOOKUP(B19,#REF!,2,FALSE))</f>
        <v>#REF!</v>
      </c>
      <c r="D19" s="11" t="e">
        <f>IF(B19="","",VLOOKUP(B19,#REF!,3,FALSE))</f>
        <v>#REF!</v>
      </c>
      <c r="E19" s="11" t="e">
        <f t="shared" si="1"/>
        <v>#REF!</v>
      </c>
      <c r="G19" s="8" t="e">
        <f>IF(B19="","",VLOOKUP(B19,#REF!,5,FALSE))</f>
        <v>#REF!</v>
      </c>
      <c r="H19" s="7" t="e">
        <f>IF(B19="","",VLOOKUP(B19,#REF!,6,FALSE))</f>
        <v>#REF!</v>
      </c>
      <c r="I19" s="8" t="e">
        <f t="shared" si="0"/>
        <v>#REF!</v>
      </c>
      <c r="K19" s="39"/>
      <c r="L19" t="s">
        <v>30</v>
      </c>
      <c r="M19" s="40"/>
      <c r="O19" s="40"/>
      <c r="P19" s="40"/>
      <c r="Q19" s="41"/>
    </row>
    <row r="20" spans="1:17" x14ac:dyDescent="0.25">
      <c r="A20" s="1" t="s">
        <v>2</v>
      </c>
      <c r="B20">
        <v>40008</v>
      </c>
      <c r="C20" s="63" t="e">
        <f>IF(A20="","",VLOOKUP(B20,#REF!,2,FALSE))</f>
        <v>#REF!</v>
      </c>
      <c r="D20" s="11" t="e">
        <f>IF(B20="","",VLOOKUP(B20,#REF!,3,FALSE))</f>
        <v>#REF!</v>
      </c>
      <c r="E20" s="11" t="e">
        <f t="shared" si="1"/>
        <v>#REF!</v>
      </c>
      <c r="G20" s="8" t="e">
        <f>IF(B20="","",VLOOKUP(B20,#REF!,5,FALSE))</f>
        <v>#REF!</v>
      </c>
      <c r="H20" s="7" t="e">
        <f>IF(B20="","",VLOOKUP(B20,#REF!,6,FALSE))</f>
        <v>#REF!</v>
      </c>
      <c r="I20" s="8" t="e">
        <f t="shared" si="0"/>
        <v>#REF!</v>
      </c>
      <c r="K20" s="39"/>
      <c r="L20" t="s">
        <v>22</v>
      </c>
      <c r="Q20" s="41"/>
    </row>
    <row r="21" spans="1:17" x14ac:dyDescent="0.25">
      <c r="A21" s="1" t="s">
        <v>2</v>
      </c>
      <c r="B21">
        <v>40009</v>
      </c>
      <c r="C21" s="63" t="e">
        <f>IF(A21="","",VLOOKUP(B21,#REF!,2,FALSE))</f>
        <v>#REF!</v>
      </c>
      <c r="D21" s="11" t="e">
        <f>IF(B21="","",VLOOKUP(B21,#REF!,3,FALSE))</f>
        <v>#REF!</v>
      </c>
      <c r="E21" s="11" t="e">
        <f t="shared" si="1"/>
        <v>#REF!</v>
      </c>
      <c r="G21" s="8" t="e">
        <f>IF(B21="","",VLOOKUP(B21,#REF!,5,FALSE))</f>
        <v>#REF!</v>
      </c>
      <c r="H21" s="7" t="e">
        <f>IF(B21="","",VLOOKUP(B21,#REF!,6,FALSE))</f>
        <v>#REF!</v>
      </c>
      <c r="I21" s="8" t="e">
        <f t="shared" si="0"/>
        <v>#REF!</v>
      </c>
      <c r="K21" s="35" t="s">
        <v>76</v>
      </c>
      <c r="L21" s="36"/>
      <c r="M21" s="36">
        <v>14002</v>
      </c>
      <c r="N21" s="36">
        <v>2.5</v>
      </c>
      <c r="O21" s="37" t="e">
        <f>SUM(IF(M21="","",VLOOKUP(M21,#REF!,6,FALSE))*N21)</f>
        <v>#REF!</v>
      </c>
      <c r="P21" s="37" t="e">
        <f>SUM(O21*P11)+O21</f>
        <v>#REF!</v>
      </c>
      <c r="Q21" s="38"/>
    </row>
    <row r="22" spans="1:17" x14ac:dyDescent="0.25">
      <c r="A22" s="1" t="s">
        <v>3</v>
      </c>
      <c r="B22">
        <v>40010</v>
      </c>
      <c r="C22" s="63" t="e">
        <f>IF(A22="","",VLOOKUP(B22,#REF!,2,FALSE))</f>
        <v>#REF!</v>
      </c>
      <c r="D22" s="11" t="e">
        <f>IF(B22="","",VLOOKUP(B22,#REF!,3,FALSE))</f>
        <v>#REF!</v>
      </c>
      <c r="E22" s="11" t="e">
        <f t="shared" si="1"/>
        <v>#REF!</v>
      </c>
      <c r="G22" s="8" t="e">
        <f>IF(B22="","",VLOOKUP(B22,#REF!,5,FALSE))</f>
        <v>#REF!</v>
      </c>
      <c r="H22" s="7" t="e">
        <f>IF(B22="","",VLOOKUP(B22,#REF!,6,FALSE))</f>
        <v>#REF!</v>
      </c>
      <c r="I22" s="8" t="e">
        <f t="shared" si="0"/>
        <v>#REF!</v>
      </c>
      <c r="K22" s="85" t="s">
        <v>39</v>
      </c>
      <c r="L22" s="22" t="s">
        <v>77</v>
      </c>
      <c r="M22" s="30"/>
      <c r="N22" s="22"/>
      <c r="O22" s="22"/>
      <c r="P22" s="22"/>
      <c r="Q22" s="43"/>
    </row>
    <row r="23" spans="1:17" x14ac:dyDescent="0.25">
      <c r="A23" s="1" t="s">
        <v>3</v>
      </c>
      <c r="B23">
        <v>40011</v>
      </c>
      <c r="C23" s="63" t="e">
        <f>IF(A23="","",VLOOKUP(B23,#REF!,2,FALSE))</f>
        <v>#REF!</v>
      </c>
      <c r="D23" s="11" t="e">
        <f>IF(B23="","",VLOOKUP(B23,#REF!,3,FALSE))</f>
        <v>#REF!</v>
      </c>
      <c r="E23" s="11" t="e">
        <f t="shared" si="1"/>
        <v>#REF!</v>
      </c>
      <c r="G23" s="8" t="e">
        <f>IF(B23="","",VLOOKUP(B23,#REF!,5,FALSE))</f>
        <v>#REF!</v>
      </c>
      <c r="H23" s="7" t="e">
        <f>IF(B23="","",VLOOKUP(B23,#REF!,6,FALSE))</f>
        <v>#REF!</v>
      </c>
      <c r="I23" s="8" t="e">
        <f t="shared" si="0"/>
        <v>#REF!</v>
      </c>
    </row>
    <row r="24" spans="1:17" x14ac:dyDescent="0.25">
      <c r="A24" s="1" t="s">
        <v>6</v>
      </c>
      <c r="B24">
        <v>40012</v>
      </c>
      <c r="C24" s="29" t="e">
        <f>IF(A24="","",VLOOKUP(B24,#REF!,2,FALSE))</f>
        <v>#REF!</v>
      </c>
      <c r="D24" s="11" t="e">
        <f>IF(B24="","",VLOOKUP(B24,#REF!,3,FALSE))</f>
        <v>#REF!</v>
      </c>
      <c r="E24" s="11" t="e">
        <f t="shared" si="1"/>
        <v>#REF!</v>
      </c>
      <c r="G24" s="8" t="e">
        <f>IF(B24="","",VLOOKUP(B24,#REF!,5,FALSE))</f>
        <v>#REF!</v>
      </c>
      <c r="H24" s="7" t="e">
        <f>IF(B24="","",VLOOKUP(B24,#REF!,6,FALSE))</f>
        <v>#REF!</v>
      </c>
      <c r="I24" s="8" t="e">
        <f t="shared" si="0"/>
        <v>#REF!</v>
      </c>
    </row>
    <row r="25" spans="1:17" x14ac:dyDescent="0.25">
      <c r="A25" s="1" t="s">
        <v>5</v>
      </c>
      <c r="B25">
        <v>40013</v>
      </c>
      <c r="C25" s="29" t="e">
        <f>IF(A25="","",VLOOKUP(B25,#REF!,2,FALSE))</f>
        <v>#REF!</v>
      </c>
      <c r="D25" s="11" t="e">
        <f>IF(B25="","",VLOOKUP(B25,#REF!,3,FALSE))</f>
        <v>#REF!</v>
      </c>
      <c r="E25" s="11" t="e">
        <f t="shared" si="1"/>
        <v>#REF!</v>
      </c>
      <c r="G25" s="8" t="e">
        <f>IF(B25="","",VLOOKUP(B25,#REF!,5,FALSE))</f>
        <v>#REF!</v>
      </c>
      <c r="H25" s="7" t="e">
        <f>IF(B25="","",VLOOKUP(B25,#REF!,6,FALSE))</f>
        <v>#REF!</v>
      </c>
      <c r="I25" s="8" t="e">
        <f t="shared" si="0"/>
        <v>#REF!</v>
      </c>
    </row>
    <row r="26" spans="1:17" x14ac:dyDescent="0.25">
      <c r="A26" s="1" t="s">
        <v>7</v>
      </c>
      <c r="B26">
        <v>40014</v>
      </c>
      <c r="C26" s="29" t="e">
        <f>IF(A26="","",VLOOKUP(B26,#REF!,2,FALSE))</f>
        <v>#REF!</v>
      </c>
      <c r="D26" s="11" t="e">
        <f>IF(B26="","",VLOOKUP(B26,#REF!,3,FALSE))</f>
        <v>#REF!</v>
      </c>
      <c r="E26" s="11" t="e">
        <f t="shared" si="1"/>
        <v>#REF!</v>
      </c>
      <c r="G26" s="8" t="e">
        <f>IF(B26="","",VLOOKUP(B26,#REF!,5,FALSE))</f>
        <v>#REF!</v>
      </c>
      <c r="H26" s="7" t="e">
        <f>IF(B26="","",VLOOKUP(B26,#REF!,6,FALSE))</f>
        <v>#REF!</v>
      </c>
      <c r="I26" s="8" t="e">
        <f t="shared" si="0"/>
        <v>#REF!</v>
      </c>
      <c r="N26" s="33"/>
      <c r="O26" s="34" t="s">
        <v>31</v>
      </c>
      <c r="P26" s="3">
        <f>SUMIFS(P12:P21,Q12:Q21,"x")</f>
        <v>0</v>
      </c>
      <c r="Q26" s="33"/>
    </row>
    <row r="27" spans="1:17" x14ac:dyDescent="0.25">
      <c r="A27" s="1" t="s">
        <v>5</v>
      </c>
      <c r="B27">
        <v>40015</v>
      </c>
      <c r="C27" s="29" t="e">
        <f>IF(A27="","",VLOOKUP(B27,#REF!,2,FALSE))</f>
        <v>#REF!</v>
      </c>
      <c r="D27" s="11" t="e">
        <f>IF(B27="","",VLOOKUP(B27,#REF!,3,FALSE))</f>
        <v>#REF!</v>
      </c>
      <c r="E27" s="11" t="e">
        <f t="shared" si="1"/>
        <v>#REF!</v>
      </c>
      <c r="G27" s="8" t="e">
        <f>IF(B27="","",VLOOKUP(B27,#REF!,5,FALSE))</f>
        <v>#REF!</v>
      </c>
      <c r="H27" s="7" t="e">
        <f>IF(B27="","",VLOOKUP(B27,#REF!,6,FALSE))</f>
        <v>#REF!</v>
      </c>
      <c r="I27" s="8" t="e">
        <f t="shared" si="0"/>
        <v>#REF!</v>
      </c>
    </row>
    <row r="28" spans="1:17" x14ac:dyDescent="0.25">
      <c r="A28" s="1" t="s">
        <v>3</v>
      </c>
      <c r="B28">
        <v>40016</v>
      </c>
      <c r="C28" s="29" t="e">
        <f>IF(A28="","",VLOOKUP(B28,#REF!,2,FALSE))</f>
        <v>#REF!</v>
      </c>
      <c r="D28" s="11" t="e">
        <f>IF(B28="","",VLOOKUP(B28,#REF!,3,FALSE))</f>
        <v>#REF!</v>
      </c>
      <c r="E28" s="11" t="e">
        <f t="shared" si="1"/>
        <v>#REF!</v>
      </c>
      <c r="G28" s="8" t="e">
        <f>IF(B28="","",VLOOKUP(B28,#REF!,5,FALSE))</f>
        <v>#REF!</v>
      </c>
      <c r="H28" s="7" t="e">
        <f>IF(B28="","",VLOOKUP(B28,#REF!,6,FALSE))</f>
        <v>#REF!</v>
      </c>
      <c r="I28" s="8" t="e">
        <f t="shared" si="0"/>
        <v>#REF!</v>
      </c>
    </row>
    <row r="29" spans="1:17" x14ac:dyDescent="0.25">
      <c r="A29" s="1" t="s">
        <v>3</v>
      </c>
      <c r="B29">
        <v>40017</v>
      </c>
      <c r="C29" s="29" t="e">
        <f>IF(A29="","",VLOOKUP(B29,#REF!,2,FALSE))</f>
        <v>#REF!</v>
      </c>
      <c r="D29" s="11" t="e">
        <f>IF(B29="","",VLOOKUP(B29,#REF!,3,FALSE))</f>
        <v>#REF!</v>
      </c>
      <c r="E29" s="11" t="e">
        <f t="shared" si="1"/>
        <v>#REF!</v>
      </c>
      <c r="G29" s="8" t="e">
        <f>IF(B29="","",VLOOKUP(B29,#REF!,5,FALSE))</f>
        <v>#REF!</v>
      </c>
      <c r="H29" s="7" t="e">
        <f>IF(B29="","",VLOOKUP(B29,#REF!,6,FALSE))</f>
        <v>#REF!</v>
      </c>
      <c r="I29" s="8" t="e">
        <f t="shared" si="0"/>
        <v>#REF!</v>
      </c>
    </row>
    <row r="30" spans="1:17" x14ac:dyDescent="0.25">
      <c r="A30" s="1" t="s">
        <v>2</v>
      </c>
      <c r="B30">
        <v>40018</v>
      </c>
      <c r="C30" s="29" t="e">
        <f>IF(A30="","",VLOOKUP(B30,#REF!,2,FALSE))</f>
        <v>#REF!</v>
      </c>
      <c r="D30" s="11" t="e">
        <f>IF(B30="","",VLOOKUP(B30,#REF!,3,FALSE))</f>
        <v>#REF!</v>
      </c>
      <c r="E30" s="11" t="e">
        <f t="shared" si="1"/>
        <v>#REF!</v>
      </c>
      <c r="G30" s="8" t="e">
        <f>IF(B30="","",VLOOKUP(B30,#REF!,5,FALSE))</f>
        <v>#REF!</v>
      </c>
      <c r="H30" s="7" t="e">
        <f>IF(B30="","",VLOOKUP(B30,#REF!,6,FALSE))</f>
        <v>#REF!</v>
      </c>
      <c r="I30" s="8" t="e">
        <f t="shared" si="0"/>
        <v>#REF!</v>
      </c>
    </row>
    <row r="31" spans="1:17" x14ac:dyDescent="0.25">
      <c r="A31" s="1" t="s">
        <v>2</v>
      </c>
      <c r="B31">
        <v>40019</v>
      </c>
      <c r="C31" s="29" t="e">
        <f>IF(A31="","",VLOOKUP(B31,#REF!,2,FALSE))</f>
        <v>#REF!</v>
      </c>
      <c r="D31" s="11" t="e">
        <f>IF(B31="","",VLOOKUP(B31,#REF!,3,FALSE))</f>
        <v>#REF!</v>
      </c>
      <c r="E31" s="11" t="e">
        <f t="shared" si="1"/>
        <v>#REF!</v>
      </c>
      <c r="G31" s="8" t="e">
        <f>IF(B31="","",VLOOKUP(B31,#REF!,5,FALSE))</f>
        <v>#REF!</v>
      </c>
      <c r="H31" s="7" t="e">
        <f>IF(B31="","",VLOOKUP(B31,#REF!,6,FALSE))</f>
        <v>#REF!</v>
      </c>
      <c r="I31" s="8" t="e">
        <f t="shared" si="0"/>
        <v>#REF!</v>
      </c>
    </row>
    <row r="32" spans="1:17" x14ac:dyDescent="0.25">
      <c r="A32" s="1" t="s">
        <v>2</v>
      </c>
      <c r="B32">
        <v>40020</v>
      </c>
      <c r="C32" s="29" t="e">
        <f>IF(A32="","",VLOOKUP(B32,#REF!,2,FALSE))</f>
        <v>#REF!</v>
      </c>
      <c r="D32" s="11" t="e">
        <f>IF(B32="","",VLOOKUP(B32,#REF!,3,FALSE))</f>
        <v>#REF!</v>
      </c>
      <c r="E32" s="11" t="e">
        <f t="shared" si="1"/>
        <v>#REF!</v>
      </c>
      <c r="G32" s="8" t="e">
        <f>IF(B32="","",VLOOKUP(B32,#REF!,5,FALSE))</f>
        <v>#REF!</v>
      </c>
      <c r="H32" s="7" t="e">
        <f>IF(B32="","",VLOOKUP(B32,#REF!,6,FALSE))</f>
        <v>#REF!</v>
      </c>
      <c r="I32" s="8" t="e">
        <f t="shared" si="0"/>
        <v>#REF!</v>
      </c>
    </row>
    <row r="33" spans="1:14" x14ac:dyDescent="0.25">
      <c r="A33" s="1" t="s">
        <v>13</v>
      </c>
      <c r="B33">
        <v>14001</v>
      </c>
      <c r="C33" s="29" t="e">
        <f>IF(A33="","",VLOOKUP(B33,#REF!,2,FALSE))</f>
        <v>#REF!</v>
      </c>
      <c r="D33" s="11" t="e">
        <f>IF(B33="","",VLOOKUP(B33,#REF!,3,FALSE))</f>
        <v>#REF!</v>
      </c>
      <c r="G33" s="8" t="e">
        <f>IF(B33="","",VLOOKUP(B33,#REF!,5,FALSE))</f>
        <v>#REF!</v>
      </c>
      <c r="H33" s="7" t="e">
        <f>IF(B33="","",VLOOKUP(B33,#REF!,6,FALSE))</f>
        <v>#REF!</v>
      </c>
      <c r="I33" s="8" t="e">
        <f t="shared" si="0"/>
        <v>#REF!</v>
      </c>
    </row>
    <row r="34" spans="1:14" x14ac:dyDescent="0.25">
      <c r="A34" s="1"/>
      <c r="H34" s="9" t="s">
        <v>15</v>
      </c>
      <c r="I34" s="9" t="e">
        <f>SUM(I13:I33)</f>
        <v>#REF!</v>
      </c>
      <c r="J34" s="1"/>
    </row>
    <row r="35" spans="1:14" x14ac:dyDescent="0.25">
      <c r="A35" s="1"/>
      <c r="H35" s="15"/>
      <c r="I35" s="10"/>
      <c r="J35" s="1"/>
    </row>
    <row r="36" spans="1:14" ht="18.75" x14ac:dyDescent="0.3">
      <c r="A36" s="87">
        <v>11004</v>
      </c>
      <c r="B36" s="18" t="e">
        <f>IF(A36="","",VLOOKUP(A36,#REF!,2,FALSE))</f>
        <v>#REF!</v>
      </c>
      <c r="C36" s="18"/>
      <c r="D36" s="19"/>
      <c r="E36" s="19"/>
      <c r="F36" s="19"/>
      <c r="G36" s="20"/>
      <c r="H36" s="21"/>
      <c r="I36" s="20"/>
      <c r="K36" s="18" t="s">
        <v>22</v>
      </c>
      <c r="L36" s="18" t="s">
        <v>21</v>
      </c>
      <c r="M36" s="31" t="s">
        <v>20</v>
      </c>
      <c r="N36" s="18"/>
    </row>
    <row r="37" spans="1:14" x14ac:dyDescent="0.25">
      <c r="A37" t="s">
        <v>14</v>
      </c>
      <c r="B37" t="s">
        <v>10</v>
      </c>
      <c r="C37" t="s">
        <v>9</v>
      </c>
      <c r="D37" s="11" t="s">
        <v>11</v>
      </c>
      <c r="E37" s="11" t="s">
        <v>64</v>
      </c>
      <c r="G37" s="8" t="s">
        <v>23</v>
      </c>
      <c r="H37" s="7" t="s">
        <v>1</v>
      </c>
      <c r="I37" s="8" t="s">
        <v>16</v>
      </c>
      <c r="K37" t="s">
        <v>19</v>
      </c>
      <c r="L37" s="23">
        <v>3</v>
      </c>
      <c r="M37" s="2">
        <v>15</v>
      </c>
      <c r="N37" s="5">
        <f>SUM(L37*M37)</f>
        <v>45</v>
      </c>
    </row>
    <row r="38" spans="1:14" x14ac:dyDescent="0.25">
      <c r="A38" s="1" t="s">
        <v>8</v>
      </c>
      <c r="B38">
        <v>40026</v>
      </c>
      <c r="C38" s="58" t="e">
        <f>IF(A38="","",VLOOKUP(B38,#REF!,2,FALSE))</f>
        <v>#REF!</v>
      </c>
      <c r="D38" s="11" t="e">
        <f>IF(B38="","",VLOOKUP(B38,#REF!,3,FALSE))</f>
        <v>#REF!</v>
      </c>
      <c r="E38" s="11" t="e">
        <f>SUM(D38*A38)</f>
        <v>#REF!</v>
      </c>
      <c r="G38" s="8" t="e">
        <f>IF(B38="","",VLOOKUP(B38,#REF!,5,FALSE))</f>
        <v>#REF!</v>
      </c>
      <c r="H38" s="7" t="e">
        <f>IF(B38="","",VLOOKUP(B38,#REF!,6,FALSE))</f>
        <v>#REF!</v>
      </c>
      <c r="I38" s="8" t="e">
        <f>SUM(H38*A38)</f>
        <v>#REF!</v>
      </c>
      <c r="K38" t="s">
        <v>17</v>
      </c>
      <c r="L38" s="23">
        <v>4</v>
      </c>
      <c r="M38" s="2">
        <v>15</v>
      </c>
      <c r="N38" s="5">
        <f>SUM(L38*M38)</f>
        <v>60</v>
      </c>
    </row>
    <row r="39" spans="1:14" x14ac:dyDescent="0.25">
      <c r="A39" s="1" t="s">
        <v>3</v>
      </c>
      <c r="B39">
        <v>40023</v>
      </c>
      <c r="C39" s="66" t="e">
        <f>IF(A39="","",VLOOKUP(B39,#REF!,2,FALSE))</f>
        <v>#REF!</v>
      </c>
      <c r="D39" s="11" t="e">
        <f>IF(B39="","",VLOOKUP(B39,#REF!,3,FALSE))</f>
        <v>#REF!</v>
      </c>
      <c r="E39" s="11" t="e">
        <f>SUM(D39*A39)</f>
        <v>#REF!</v>
      </c>
      <c r="G39" s="8" t="e">
        <f>IF(B39="","",VLOOKUP(B39,#REF!,5,FALSE))</f>
        <v>#REF!</v>
      </c>
      <c r="H39" s="7" t="e">
        <f>IF(B39="","",VLOOKUP(B39,#REF!,6,FALSE))</f>
        <v>#REF!</v>
      </c>
      <c r="I39" s="8" t="e">
        <f>SUM(H39*A39)</f>
        <v>#REF!</v>
      </c>
      <c r="K39" t="s">
        <v>18</v>
      </c>
      <c r="L39" s="23">
        <v>1</v>
      </c>
      <c r="M39" s="2">
        <v>15</v>
      </c>
      <c r="N39" s="5">
        <f>SUM(L39*M39)</f>
        <v>15</v>
      </c>
    </row>
    <row r="40" spans="1:14" x14ac:dyDescent="0.25">
      <c r="A40" s="1" t="s">
        <v>5</v>
      </c>
      <c r="B40">
        <v>40024</v>
      </c>
      <c r="C40" s="63" t="e">
        <f>IF(A40="","",VLOOKUP(B40,#REF!,2,FALSE))</f>
        <v>#REF!</v>
      </c>
      <c r="D40" s="11" t="e">
        <f>IF(B40="","",VLOOKUP(B40,#REF!,3,FALSE))</f>
        <v>#REF!</v>
      </c>
      <c r="E40" s="11" t="e">
        <f>SUM(D40*A40)</f>
        <v>#REF!</v>
      </c>
      <c r="G40" s="8" t="e">
        <f>IF(B40="","",VLOOKUP(B40,#REF!,5,FALSE))</f>
        <v>#REF!</v>
      </c>
      <c r="H40" s="7" t="e">
        <f>IF(B40="","",VLOOKUP(B40,#REF!,6,FALSE))</f>
        <v>#REF!</v>
      </c>
      <c r="I40" s="8" t="e">
        <f>SUM(H40*A40)</f>
        <v>#REF!</v>
      </c>
      <c r="K40" s="1"/>
      <c r="M40" s="32" t="s">
        <v>15</v>
      </c>
      <c r="N40" s="3">
        <f>SUM(N37:N39)</f>
        <v>120</v>
      </c>
    </row>
    <row r="41" spans="1:14" x14ac:dyDescent="0.25">
      <c r="A41" s="1" t="s">
        <v>7</v>
      </c>
      <c r="B41">
        <v>40028</v>
      </c>
      <c r="C41" s="63" t="e">
        <f>IF(A41="","",VLOOKUP(B41,#REF!,2,FALSE))</f>
        <v>#REF!</v>
      </c>
      <c r="D41" s="11" t="e">
        <f>IF(B41="","",VLOOKUP(B41,#REF!,3,FALSE))</f>
        <v>#REF!</v>
      </c>
      <c r="E41" s="11" t="e">
        <f>SUM(D41*A41)</f>
        <v>#REF!</v>
      </c>
      <c r="G41" s="8" t="e">
        <f>IF(B41="","",VLOOKUP(B41,#REF!,5,FALSE))</f>
        <v>#REF!</v>
      </c>
      <c r="H41" s="7" t="e">
        <f>IF(B41="","",VLOOKUP(B41,#REF!,6,FALSE))</f>
        <v>#REF!</v>
      </c>
      <c r="I41" s="8" t="e">
        <f>SUM(H41*A41)</f>
        <v>#REF!</v>
      </c>
    </row>
    <row r="42" spans="1:14" x14ac:dyDescent="0.25">
      <c r="A42" s="1" t="s">
        <v>78</v>
      </c>
      <c r="B42">
        <v>14001</v>
      </c>
      <c r="C42" s="29" t="e">
        <f>IF(A42="","",VLOOKUP(B42,#REF!,2,FALSE))</f>
        <v>#REF!</v>
      </c>
      <c r="D42" s="11" t="e">
        <f>IF(B42="","",VLOOKUP(B42,#REF!,3,FALSE))</f>
        <v>#REF!</v>
      </c>
      <c r="G42" s="8" t="e">
        <f>IF(B42="","",VLOOKUP(B42,#REF!,5,FALSE))</f>
        <v>#REF!</v>
      </c>
      <c r="H42" s="7" t="e">
        <f>IF(B42="","",VLOOKUP(B42,#REF!,6,FALSE))</f>
        <v>#REF!</v>
      </c>
      <c r="I42" s="8" t="e">
        <f>SUM(H42*A42)</f>
        <v>#REF!</v>
      </c>
    </row>
    <row r="43" spans="1:14" x14ac:dyDescent="0.25">
      <c r="H43" s="14" t="s">
        <v>15</v>
      </c>
      <c r="I43" s="9" t="e">
        <f>SUM(I38:I42)</f>
        <v>#REF!</v>
      </c>
    </row>
    <row r="47" spans="1:14" x14ac:dyDescent="0.25">
      <c r="A47" t="s">
        <v>61</v>
      </c>
      <c r="B47" t="s">
        <v>66</v>
      </c>
      <c r="C47" t="s">
        <v>44</v>
      </c>
      <c r="D47" s="17">
        <v>5</v>
      </c>
      <c r="E47" s="46" t="s">
        <v>46</v>
      </c>
      <c r="F47" s="17">
        <v>10</v>
      </c>
      <c r="G47" t="s">
        <v>45</v>
      </c>
    </row>
    <row r="48" spans="1:14" x14ac:dyDescent="0.25">
      <c r="A48" s="17"/>
      <c r="D48"/>
      <c r="E48"/>
      <c r="F48"/>
      <c r="G48"/>
    </row>
    <row r="49" spans="1:13" x14ac:dyDescent="0.25">
      <c r="A49" s="47" t="s">
        <v>65</v>
      </c>
      <c r="B49" s="56" t="s">
        <v>62</v>
      </c>
      <c r="C49" s="52" t="e">
        <f>SUM(E13*A3)</f>
        <v>#REF!</v>
      </c>
      <c r="D49" s="53"/>
      <c r="E49" s="60" t="e">
        <f>SUM(C49*5)</f>
        <v>#REF!</v>
      </c>
      <c r="F49" s="47"/>
      <c r="G49" s="52" t="e">
        <f>SUM(C49*F47)</f>
        <v>#REF!</v>
      </c>
      <c r="M49"/>
    </row>
    <row r="50" spans="1:13" x14ac:dyDescent="0.25">
      <c r="A50" s="47" t="s">
        <v>65</v>
      </c>
      <c r="B50" s="57" t="s">
        <v>63</v>
      </c>
      <c r="C50" s="52" t="e">
        <f>SUM(2*(E14+E15+E16+E17+E18+E19)+E5)</f>
        <v>#REF!</v>
      </c>
      <c r="D50" s="53"/>
      <c r="E50" s="61" t="e">
        <f>SUM(C50*5)</f>
        <v>#REF!</v>
      </c>
      <c r="F50" s="47"/>
      <c r="G50" s="52" t="e">
        <f>SUM(C50*F47)</f>
        <v>#REF!</v>
      </c>
      <c r="M50"/>
    </row>
    <row r="51" spans="1:13" x14ac:dyDescent="0.25">
      <c r="A51" s="47" t="s">
        <v>65</v>
      </c>
      <c r="B51" s="59" t="s">
        <v>60</v>
      </c>
      <c r="C51" s="52" t="e">
        <f>SUM(E38)</f>
        <v>#REF!</v>
      </c>
      <c r="D51" s="53"/>
      <c r="E51" s="62" t="e">
        <f>SUM(C51*D47)</f>
        <v>#REF!</v>
      </c>
      <c r="F51" s="52"/>
      <c r="G51" s="52" t="e">
        <f>SUM(C51*F47)</f>
        <v>#REF!</v>
      </c>
      <c r="M51"/>
    </row>
    <row r="52" spans="1:13" x14ac:dyDescent="0.25">
      <c r="A52" s="47" t="s">
        <v>67</v>
      </c>
      <c r="B52" s="65" t="s">
        <v>63</v>
      </c>
      <c r="C52" s="11" t="e">
        <f>SUM(E39)</f>
        <v>#REF!</v>
      </c>
      <c r="D52" s="50"/>
      <c r="E52" s="67" t="e">
        <f>SUM(C52*D47)</f>
        <v>#REF!</v>
      </c>
      <c r="F52" s="50"/>
      <c r="G52" s="11" t="e">
        <f>SUM(C52*F47)</f>
        <v>#REF!</v>
      </c>
      <c r="H52" s="51"/>
      <c r="I52"/>
      <c r="J52" s="1"/>
      <c r="M52"/>
    </row>
    <row r="53" spans="1:13" x14ac:dyDescent="0.25">
      <c r="A53" s="47" t="s">
        <v>67</v>
      </c>
      <c r="B53" s="64" t="s">
        <v>68</v>
      </c>
      <c r="C53" s="11" t="e">
        <f>SUM(2*(E20+E21+E23+E22)+E40+E41)</f>
        <v>#REF!</v>
      </c>
      <c r="D53" s="50"/>
      <c r="E53" s="68" t="e">
        <f>SUM(C53*D47)</f>
        <v>#REF!</v>
      </c>
      <c r="F53" s="50"/>
      <c r="G53" s="52" t="e">
        <f>SUM(C53*F47)</f>
        <v>#REF!</v>
      </c>
      <c r="H53" s="51"/>
      <c r="I53"/>
      <c r="J53" s="1"/>
      <c r="M53"/>
    </row>
    <row r="54" spans="1:13" x14ac:dyDescent="0.25">
      <c r="A54" s="47"/>
      <c r="C54" s="11"/>
      <c r="D54" s="50"/>
      <c r="E54" s="50"/>
      <c r="F54" s="50"/>
      <c r="G54" s="52"/>
      <c r="H54" s="51"/>
      <c r="I54"/>
      <c r="J54" s="1"/>
    </row>
    <row r="55" spans="1:13" x14ac:dyDescent="0.25">
      <c r="A55" s="17"/>
      <c r="D55"/>
      <c r="E55"/>
      <c r="F55"/>
      <c r="G55"/>
      <c r="H55"/>
      <c r="I55"/>
    </row>
    <row r="56" spans="1:13" x14ac:dyDescent="0.25">
      <c r="A56" s="84" t="s">
        <v>43</v>
      </c>
      <c r="B56" s="17" t="s">
        <v>58</v>
      </c>
      <c r="C56" s="17" t="s">
        <v>58</v>
      </c>
      <c r="D56" s="17" t="s">
        <v>58</v>
      </c>
      <c r="E56" s="17" t="s">
        <v>72</v>
      </c>
      <c r="F56" s="17" t="s">
        <v>72</v>
      </c>
      <c r="G56"/>
      <c r="H56"/>
      <c r="I56"/>
    </row>
    <row r="57" spans="1:13" x14ac:dyDescent="0.25">
      <c r="A57" s="17"/>
      <c r="B57" s="71" t="s">
        <v>69</v>
      </c>
      <c r="C57" s="72" t="s">
        <v>47</v>
      </c>
      <c r="D57" s="73" t="s">
        <v>59</v>
      </c>
      <c r="E57" s="75" t="s">
        <v>41</v>
      </c>
      <c r="F57" s="76" t="s">
        <v>40</v>
      </c>
      <c r="G57" s="17"/>
      <c r="H57" s="17"/>
      <c r="I57" s="17"/>
    </row>
    <row r="58" spans="1:13" x14ac:dyDescent="0.25">
      <c r="A58" s="17">
        <v>150</v>
      </c>
      <c r="B58" s="80"/>
      <c r="C58" s="48">
        <v>1.1399999999999999</v>
      </c>
      <c r="D58" s="48">
        <v>0.95</v>
      </c>
      <c r="E58" s="80"/>
      <c r="F58" s="80"/>
      <c r="G58" s="17"/>
      <c r="H58" s="48"/>
      <c r="I58" s="17"/>
    </row>
    <row r="59" spans="1:13" x14ac:dyDescent="0.25">
      <c r="A59" s="17" t="s">
        <v>48</v>
      </c>
      <c r="B59" s="80"/>
      <c r="C59" s="48">
        <v>1.43</v>
      </c>
      <c r="D59" s="48">
        <v>0.95</v>
      </c>
      <c r="E59" s="80"/>
      <c r="F59" s="80"/>
      <c r="G59" s="17"/>
      <c r="H59" s="48"/>
      <c r="I59" s="17"/>
    </row>
    <row r="60" spans="1:13" x14ac:dyDescent="0.25">
      <c r="A60" s="17" t="s">
        <v>49</v>
      </c>
      <c r="B60" s="80"/>
      <c r="C60" s="48">
        <v>1.9</v>
      </c>
      <c r="D60" s="48">
        <v>1.43</v>
      </c>
      <c r="E60" s="80"/>
      <c r="F60" s="80"/>
      <c r="G60" s="17"/>
      <c r="H60" s="48"/>
      <c r="I60" s="17"/>
    </row>
    <row r="61" spans="1:13" x14ac:dyDescent="0.25">
      <c r="A61" s="17" t="s">
        <v>50</v>
      </c>
      <c r="B61" s="80"/>
      <c r="C61" s="48">
        <v>2</v>
      </c>
      <c r="D61" s="48">
        <v>1.62</v>
      </c>
      <c r="E61" s="80"/>
      <c r="F61" s="80"/>
      <c r="G61" s="17"/>
      <c r="H61" s="17"/>
      <c r="I61" s="17"/>
    </row>
    <row r="62" spans="1:13" x14ac:dyDescent="0.25">
      <c r="A62" s="17" t="s">
        <v>51</v>
      </c>
      <c r="B62" s="80"/>
      <c r="C62" s="48">
        <v>2.09</v>
      </c>
      <c r="D62" s="48">
        <v>1.62</v>
      </c>
      <c r="E62" s="80"/>
      <c r="F62" s="80"/>
      <c r="G62" s="17"/>
      <c r="H62" s="17"/>
      <c r="I62" s="17"/>
    </row>
    <row r="63" spans="1:13" x14ac:dyDescent="0.25">
      <c r="A63" s="17" t="s">
        <v>52</v>
      </c>
      <c r="B63" s="80"/>
      <c r="C63" s="48">
        <v>2.19</v>
      </c>
      <c r="D63" s="48">
        <v>1.9</v>
      </c>
      <c r="E63" s="80"/>
      <c r="F63" s="80"/>
      <c r="G63" s="17"/>
      <c r="H63" s="17"/>
      <c r="I63" s="17"/>
    </row>
    <row r="64" spans="1:13" x14ac:dyDescent="0.25">
      <c r="A64" s="17" t="s">
        <v>53</v>
      </c>
      <c r="B64" s="80"/>
      <c r="C64" s="48">
        <v>2.29</v>
      </c>
      <c r="D64" s="48">
        <v>1.9</v>
      </c>
      <c r="E64" s="80"/>
      <c r="F64" s="80"/>
      <c r="G64" s="102"/>
      <c r="H64" s="48"/>
      <c r="I64" s="17"/>
    </row>
    <row r="65" spans="1:9" x14ac:dyDescent="0.25">
      <c r="A65" s="78" t="s">
        <v>54</v>
      </c>
      <c r="B65" s="80">
        <v>2.85</v>
      </c>
      <c r="C65" s="77">
        <v>2.38</v>
      </c>
      <c r="D65" s="48">
        <v>1.9</v>
      </c>
      <c r="E65" s="80"/>
      <c r="F65" s="80"/>
      <c r="G65" s="17"/>
      <c r="H65" s="17"/>
      <c r="I65" s="17"/>
    </row>
    <row r="66" spans="1:9" x14ac:dyDescent="0.25">
      <c r="A66" s="17" t="s">
        <v>55</v>
      </c>
      <c r="B66" s="80"/>
      <c r="C66" s="48">
        <v>3.33</v>
      </c>
      <c r="D66" s="17"/>
      <c r="E66" s="80"/>
      <c r="F66" s="80"/>
      <c r="G66" s="17"/>
      <c r="H66" s="17"/>
      <c r="I66" s="17"/>
    </row>
    <row r="67" spans="1:9" x14ac:dyDescent="0.25">
      <c r="A67" s="17" t="s">
        <v>56</v>
      </c>
      <c r="B67" s="80"/>
      <c r="C67" s="48">
        <v>3.8</v>
      </c>
      <c r="D67" s="17"/>
      <c r="E67" s="80"/>
      <c r="F67" s="80"/>
      <c r="G67" s="17"/>
      <c r="H67" s="17"/>
      <c r="I67" s="17"/>
    </row>
    <row r="68" spans="1:9" x14ac:dyDescent="0.25">
      <c r="A68" s="17" t="s">
        <v>57</v>
      </c>
      <c r="B68" s="80"/>
      <c r="C68" s="48">
        <v>4.75</v>
      </c>
      <c r="D68" s="17"/>
      <c r="E68" s="80"/>
      <c r="F68" s="80"/>
      <c r="G68" s="17"/>
      <c r="H68" s="17"/>
      <c r="I68" s="17"/>
    </row>
    <row r="69" spans="1:9" x14ac:dyDescent="0.25">
      <c r="A69" s="17">
        <v>2000</v>
      </c>
      <c r="B69" s="80">
        <v>9.98</v>
      </c>
      <c r="C69" s="17"/>
      <c r="D69"/>
      <c r="E69" s="69"/>
      <c r="F69" s="69"/>
      <c r="G69"/>
      <c r="H69"/>
      <c r="I69"/>
    </row>
    <row r="70" spans="1:9" x14ac:dyDescent="0.25">
      <c r="A70" s="17"/>
      <c r="B70" s="80"/>
      <c r="C70" s="17"/>
      <c r="D70"/>
      <c r="E70" s="69"/>
      <c r="F70" s="69"/>
      <c r="G70"/>
      <c r="H70"/>
      <c r="I70"/>
    </row>
    <row r="71" spans="1:9" x14ac:dyDescent="0.25">
      <c r="A71" s="83" t="s">
        <v>70</v>
      </c>
      <c r="B71" s="80"/>
      <c r="C71" s="17"/>
      <c r="D71" s="69"/>
      <c r="E71" s="69"/>
      <c r="F71" s="69"/>
      <c r="G71"/>
      <c r="H71"/>
      <c r="I71"/>
    </row>
    <row r="72" spans="1:9" x14ac:dyDescent="0.25">
      <c r="A72" s="17"/>
      <c r="B72" s="82"/>
      <c r="C72" s="70"/>
      <c r="D72" s="80"/>
      <c r="E72" s="80"/>
      <c r="F72" s="80"/>
      <c r="G72"/>
      <c r="H72"/>
      <c r="I72"/>
    </row>
    <row r="73" spans="1:9" x14ac:dyDescent="0.25">
      <c r="A73" s="17" t="s">
        <v>71</v>
      </c>
      <c r="B73" s="82"/>
      <c r="C73" s="70"/>
      <c r="D73" s="69"/>
      <c r="E73" s="80">
        <v>3.65</v>
      </c>
      <c r="F73" s="80">
        <v>2.8</v>
      </c>
      <c r="G73"/>
      <c r="H73"/>
      <c r="I73"/>
    </row>
    <row r="74" spans="1:9" x14ac:dyDescent="0.25">
      <c r="A74" s="17"/>
      <c r="B74" s="82"/>
      <c r="C74" s="70"/>
      <c r="D74" s="80"/>
      <c r="E74" s="80"/>
      <c r="F74" s="80"/>
      <c r="G74"/>
      <c r="H74"/>
      <c r="I74"/>
    </row>
    <row r="75" spans="1:9" x14ac:dyDescent="0.25">
      <c r="A75" s="17"/>
      <c r="B75" s="82"/>
      <c r="C75" s="70"/>
      <c r="D75" s="69"/>
      <c r="E75" s="69"/>
      <c r="F75" s="69"/>
      <c r="G75"/>
      <c r="H75"/>
      <c r="I75"/>
    </row>
    <row r="76" spans="1:9" x14ac:dyDescent="0.25">
      <c r="A76" s="17"/>
      <c r="B76" s="70"/>
      <c r="C76" s="70"/>
      <c r="D76" s="69"/>
      <c r="E76" s="69"/>
      <c r="F76" s="69"/>
      <c r="G76"/>
      <c r="H76"/>
      <c r="I76"/>
    </row>
    <row r="77" spans="1:9" x14ac:dyDescent="0.25">
      <c r="A77" s="49"/>
      <c r="B77" s="74"/>
      <c r="C77" s="74"/>
      <c r="D77" s="69"/>
      <c r="E77" s="69"/>
      <c r="F77" s="69"/>
      <c r="G77"/>
      <c r="H77"/>
      <c r="I77"/>
    </row>
    <row r="78" spans="1:9" x14ac:dyDescent="0.25">
      <c r="A78" s="17"/>
      <c r="B78" s="17"/>
      <c r="C78" s="17"/>
      <c r="D78" s="80"/>
      <c r="E78" s="80"/>
      <c r="F78" s="80"/>
      <c r="G78"/>
      <c r="H78"/>
      <c r="I78"/>
    </row>
    <row r="79" spans="1:9" x14ac:dyDescent="0.25">
      <c r="A79" s="88" t="s">
        <v>73</v>
      </c>
      <c r="B79" s="89">
        <f>SUM(B65*10)</f>
        <v>28.5</v>
      </c>
      <c r="C79" s="90">
        <f>SUM(C65*27)</f>
        <v>64.259999999999991</v>
      </c>
      <c r="D79" s="89">
        <f>SUM(D65*7)</f>
        <v>13.299999999999999</v>
      </c>
      <c r="E79" s="89">
        <f>SUM(E73*5)</f>
        <v>18.25</v>
      </c>
      <c r="F79" s="89">
        <f>SUM(F73*16)</f>
        <v>44.8</v>
      </c>
    </row>
    <row r="80" spans="1:9" x14ac:dyDescent="0.25">
      <c r="A80" s="88" t="s">
        <v>74</v>
      </c>
      <c r="B80" s="89">
        <f>SUM(B79+C79+D79+E79+F79)</f>
        <v>169.10999999999999</v>
      </c>
      <c r="C80" s="88"/>
      <c r="D80" s="89"/>
      <c r="E80" s="89"/>
      <c r="F80" s="89"/>
    </row>
    <row r="81" spans="1:6" x14ac:dyDescent="0.25">
      <c r="A81" s="88" t="s">
        <v>75</v>
      </c>
      <c r="B81" s="89">
        <f>SUM(B80/5)</f>
        <v>33.821999999999996</v>
      </c>
      <c r="C81" s="88"/>
      <c r="D81" s="89"/>
      <c r="E81" s="91"/>
      <c r="F81" s="89"/>
    </row>
    <row r="82" spans="1:6" x14ac:dyDescent="0.25">
      <c r="D82" s="81"/>
      <c r="E82" s="79"/>
    </row>
    <row r="83" spans="1:6" x14ac:dyDescent="0.25">
      <c r="D83" s="81"/>
      <c r="E83" s="79"/>
    </row>
    <row r="84" spans="1:6" x14ac:dyDescent="0.25">
      <c r="D84" s="81"/>
      <c r="E84" s="79"/>
    </row>
  </sheetData>
  <conditionalFormatting sqref="A36">
    <cfRule type="duplicateValues" dxfId="1" priority="2"/>
  </conditionalFormatting>
  <conditionalFormatting sqref="B38">
    <cfRule type="duplicateValues" dxfId="0" priority="1"/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BW2</vt:lpstr>
      <vt:lpstr>Brücke 1000 doppelgleisig VA</vt:lpstr>
      <vt:lpstr>'BW2'!Druckbereich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Hannes</dc:creator>
  <cp:lastModifiedBy>SCHOLDT</cp:lastModifiedBy>
  <cp:lastPrinted>2023-08-01T11:42:33Z</cp:lastPrinted>
  <dcterms:created xsi:type="dcterms:W3CDTF">2019-12-29T10:17:42Z</dcterms:created>
  <dcterms:modified xsi:type="dcterms:W3CDTF">2023-08-02T12:44:40Z</dcterms:modified>
</cp:coreProperties>
</file>